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acultad\UNLP\Riego\Guias 2020\clase 2\"/>
    </mc:Choice>
  </mc:AlternateContent>
  <bookViews>
    <workbookView xWindow="0" yWindow="0" windowWidth="7470" windowHeight="2655"/>
  </bookViews>
  <sheets>
    <sheet name="Hoja1" sheetId="1" r:id="rId1"/>
  </sheets>
  <definedNames>
    <definedName name="_Hlk193251792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9" i="1" l="1"/>
  <c r="D332" i="1"/>
  <c r="E317" i="1"/>
  <c r="H313" i="1"/>
  <c r="I270" i="1"/>
  <c r="H270" i="1"/>
  <c r="G270" i="1"/>
  <c r="F270" i="1"/>
  <c r="D317" i="1"/>
  <c r="I313" i="1"/>
  <c r="K313" i="1" s="1"/>
  <c r="G313" i="1"/>
  <c r="E308" i="1"/>
  <c r="N238" i="1"/>
  <c r="L238" i="1"/>
  <c r="F339" i="1"/>
  <c r="F317" i="1"/>
  <c r="F18" i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D156" i="1"/>
  <c r="E163" i="1" s="1"/>
  <c r="F163" i="1" s="1"/>
  <c r="K27" i="1"/>
  <c r="I50" i="1"/>
  <c r="J50" i="1" s="1"/>
  <c r="K50" i="1" s="1"/>
  <c r="E137" i="1"/>
  <c r="F137" i="1" s="1"/>
  <c r="H137" i="1" s="1"/>
  <c r="J137" i="1" s="1"/>
  <c r="F132" i="1"/>
  <c r="F50" i="1" l="1"/>
  <c r="G50" i="1" s="1"/>
  <c r="D141" i="1"/>
  <c r="E141" i="1" s="1"/>
  <c r="F141" i="1" s="1"/>
  <c r="N79" i="1"/>
  <c r="N78" i="1"/>
  <c r="P78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J242" i="1"/>
  <c r="J243" i="1" s="1"/>
  <c r="E270" i="1"/>
  <c r="D270" i="1" s="1"/>
  <c r="D183" i="1"/>
  <c r="D184" i="1" s="1"/>
  <c r="E97" i="1" l="1"/>
  <c r="A97" i="1" s="1"/>
  <c r="E96" i="1"/>
  <c r="A96" i="1" s="1"/>
  <c r="E95" i="1"/>
  <c r="A95" i="1" s="1"/>
  <c r="E94" i="1"/>
  <c r="A94" i="1" s="1"/>
  <c r="E93" i="1"/>
  <c r="A93" i="1" s="1"/>
  <c r="E92" i="1"/>
  <c r="A92" i="1" s="1"/>
  <c r="E91" i="1"/>
  <c r="A91" i="1" s="1"/>
  <c r="E90" i="1"/>
  <c r="A90" i="1" s="1"/>
  <c r="E89" i="1"/>
  <c r="A89" i="1" s="1"/>
  <c r="E88" i="1"/>
  <c r="A88" i="1" s="1"/>
  <c r="E87" i="1"/>
  <c r="A87" i="1" s="1"/>
  <c r="E86" i="1"/>
  <c r="A86" i="1" s="1"/>
  <c r="E85" i="1"/>
  <c r="A85" i="1" s="1"/>
  <c r="E84" i="1"/>
  <c r="A84" i="1" s="1"/>
  <c r="E83" i="1"/>
  <c r="A83" i="1" s="1"/>
  <c r="D26" i="1"/>
  <c r="F26" i="1" s="1"/>
  <c r="D25" i="1"/>
  <c r="D24" i="1"/>
  <c r="D23" i="1"/>
  <c r="D22" i="1"/>
  <c r="F22" i="1" s="1"/>
  <c r="D21" i="1"/>
  <c r="D20" i="1"/>
  <c r="D19" i="1"/>
  <c r="G22" i="1"/>
  <c r="H22" i="1" s="1"/>
  <c r="G18" i="1"/>
  <c r="H18" i="1" s="1"/>
  <c r="C19" i="1"/>
  <c r="C20" i="1" s="1"/>
  <c r="C21" i="1" s="1"/>
  <c r="C22" i="1" s="1"/>
  <c r="C23" i="1" s="1"/>
  <c r="C24" i="1" s="1"/>
  <c r="C25" i="1" s="1"/>
  <c r="C26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F19" i="1" l="1"/>
  <c r="G19" i="1" s="1"/>
  <c r="H19" i="1" s="1"/>
  <c r="F20" i="1"/>
  <c r="G20" i="1" s="1"/>
  <c r="H20" i="1" s="1"/>
  <c r="F24" i="1"/>
  <c r="G24" i="1" s="1"/>
  <c r="H24" i="1" s="1"/>
  <c r="F21" i="1"/>
  <c r="G21" i="1" s="1"/>
  <c r="H21" i="1" s="1"/>
  <c r="F23" i="1"/>
  <c r="G23" i="1" s="1"/>
  <c r="H23" i="1" s="1"/>
  <c r="F25" i="1"/>
  <c r="G25" i="1" s="1"/>
  <c r="H25" i="1" s="1"/>
  <c r="G26" i="1"/>
  <c r="H26" i="1" s="1"/>
  <c r="F27" i="1" l="1"/>
  <c r="I97" i="1"/>
  <c r="J97" i="1" s="1"/>
</calcChain>
</file>

<file path=xl/sharedStrings.xml><?xml version="1.0" encoding="utf-8"?>
<sst xmlns="http://schemas.openxmlformats.org/spreadsheetml/2006/main" count="199" uniqueCount="142">
  <si>
    <t>INTEGRACIÓN Y DERIVACIÓN DE LAS ECUACIONES DE INFILTRACION</t>
  </si>
  <si>
    <t>El modelo matemático más generalizado de la velocidad de infiltración I es el de Kostiakov</t>
  </si>
  <si>
    <t>I (cm/h) = k * t exp n</t>
  </si>
  <si>
    <t>I</t>
  </si>
  <si>
    <t>t (min)</t>
  </si>
  <si>
    <t>k</t>
  </si>
  <si>
    <t>cm</t>
  </si>
  <si>
    <t>min</t>
  </si>
  <si>
    <t>I cm/h</t>
  </si>
  <si>
    <t>cm/h</t>
  </si>
  <si>
    <t>Los parámetros k y n se obtienen por regresión lineal con los datos experimentales.</t>
  </si>
  <si>
    <t>t</t>
  </si>
  <si>
    <t>t min</t>
  </si>
  <si>
    <t>n</t>
  </si>
  <si>
    <t>t exp -0,63</t>
  </si>
  <si>
    <t>cm/min</t>
  </si>
  <si>
    <t>t acum</t>
  </si>
  <si>
    <t>Hora</t>
  </si>
  <si>
    <t>h inicial</t>
  </si>
  <si>
    <t>h final</t>
  </si>
  <si>
    <t>d infiltrada</t>
  </si>
  <si>
    <t xml:space="preserve">I </t>
  </si>
  <si>
    <t>Intervalo t</t>
  </si>
  <si>
    <t>Para graficar I = f(t)</t>
  </si>
  <si>
    <t>donde:</t>
  </si>
  <si>
    <t>I = velocidad de infiltración, en cm/h</t>
  </si>
  <si>
    <t xml:space="preserve">k= factor </t>
  </si>
  <si>
    <t>n = exponente</t>
  </si>
  <si>
    <t>t = tiempo en minutos</t>
  </si>
  <si>
    <t>Se construye un gráfico de dispersión y se ajustan los datos a una función potencial</t>
  </si>
  <si>
    <t xml:space="preserve">como es el modelo de Kostiakov, pidiendo mostrar la ecuac ión de ajuste y el </t>
  </si>
  <si>
    <t>indicador de la regresión (r2)</t>
  </si>
  <si>
    <t>La ec. de velocidad de infitración será I (cm/h) = 37,45 * t exp -0,614</t>
  </si>
  <si>
    <t>La ec. de velocidad de infiltración I (cm/h) = 37,45 * t (min) exp -0,614 se integra para construir la ec. de infiltración acumulada Iac (cm) = K * t exp N</t>
  </si>
  <si>
    <t>La integral de la I es la infiltración acumulada Iac., matemáticamente:</t>
  </si>
  <si>
    <t>Se divide por 60 min/hora porque el tiempo estás en minutos y la I en cm/hora</t>
  </si>
  <si>
    <t>Iac (cm) = 1,617 t (min) exp 0,386</t>
  </si>
  <si>
    <t>Físicamente, la sumatoria de velocidades de infiltración desde el tiempo cero al tiempo t, para intervalos de tiempo, es la infiltración acumulada Iac</t>
  </si>
  <si>
    <t>a) Datos experimentales obtenidos con el método del doble anillo de Muntz</t>
  </si>
  <si>
    <t>Lógicamente si la curva se hizo con los datos de la ecuación el r2=1</t>
  </si>
  <si>
    <t>Ejercicio de derivación.</t>
  </si>
  <si>
    <t>Si se tiene la ec. de la Iac (cm) = 1,617 * t (min) exp 0,386, la primer derivada es la velocidad de infiltración I</t>
  </si>
  <si>
    <t xml:space="preserve">d Iac/dt = 0,386 * 1,617 * 60 (min/h) *  t exp (0,386 -1) = </t>
  </si>
  <si>
    <t>Se multiplica por 60 min/h porque el t está es minutos.</t>
  </si>
  <si>
    <t>Iac (cm)</t>
  </si>
  <si>
    <t>I = 37,45 t exp -0,614</t>
  </si>
  <si>
    <t>La curva de la Iac (cm) = 1,617 t (min) exp 0,386 será</t>
  </si>
  <si>
    <t>Factor K</t>
  </si>
  <si>
    <t>Exp N</t>
  </si>
  <si>
    <t>t exp 0,386</t>
  </si>
  <si>
    <t>Para graficar Iac= f(t)</t>
  </si>
  <si>
    <t>b) Datos experimentales obtenidos con el método de surcos infiltrómetros.</t>
  </si>
  <si>
    <t>Qe</t>
  </si>
  <si>
    <t>Qs</t>
  </si>
  <si>
    <t>(min)</t>
  </si>
  <si>
    <t>(l/s)</t>
  </si>
  <si>
    <t>(cm/h)</t>
  </si>
  <si>
    <t>Tiempo transcurrido</t>
  </si>
  <si>
    <t>Promedio del</t>
  </si>
  <si>
    <t xml:space="preserve">                         Caudales</t>
  </si>
  <si>
    <t>Velocidad de</t>
  </si>
  <si>
    <t xml:space="preserve">Lámina </t>
  </si>
  <si>
    <t>Lámina</t>
  </si>
  <si>
    <t>desde</t>
  </si>
  <si>
    <t>hasta</t>
  </si>
  <si>
    <t>tiempo acum.</t>
  </si>
  <si>
    <t>Entrada</t>
  </si>
  <si>
    <t>Salida</t>
  </si>
  <si>
    <t>infiltración</t>
  </si>
  <si>
    <t>acumulada</t>
  </si>
  <si>
    <t>Cabecera</t>
  </si>
  <si>
    <t>Pie</t>
  </si>
  <si>
    <t>d</t>
  </si>
  <si>
    <t>d cum</t>
  </si>
  <si>
    <t>(cm)</t>
  </si>
  <si>
    <t>inicio</t>
  </si>
  <si>
    <t>PARA GRAFICAR</t>
  </si>
  <si>
    <t>t acum (min)</t>
  </si>
  <si>
    <t>I (cm/h)</t>
  </si>
  <si>
    <t xml:space="preserve">Surcos de 80 m de longitud, espaciados 0,6 m. </t>
  </si>
  <si>
    <t>Area del suco = 48 m2</t>
  </si>
  <si>
    <t>Ejemplo de cálculo de la veloc. de infiltración:</t>
  </si>
  <si>
    <t>Promedio del tiempo transcurrido= 26 min + 1 min /2 = 13,5 min</t>
  </si>
  <si>
    <t>Qe= 1,5 l/s - Qs= 0,301 l/s = Qi= 1,199 l/s</t>
  </si>
  <si>
    <t>Caudal de entrada Qe - Caudal de salida Qs = caudal de infiltración Qi</t>
  </si>
  <si>
    <t>Hay que transformar Qi (l/s) en I (cm/h)</t>
  </si>
  <si>
    <t>Ec. de igualdades volumétricas Qi*t = A * d donde:</t>
  </si>
  <si>
    <t>A= área de distribución de la lámina d en el surco= largo * espaciamiento= 48 m2</t>
  </si>
  <si>
    <t>d = lámina infiltrada (m)</t>
  </si>
  <si>
    <t>t = tiempo (s)</t>
  </si>
  <si>
    <t>Qi = caudal infiltrado (m3/s)</t>
  </si>
  <si>
    <t>Qi/A = d/t = I (m/s)</t>
  </si>
  <si>
    <t xml:space="preserve">Qi = 1,199 l/s = </t>
  </si>
  <si>
    <t>1,199 l/s * m3/1000 l * 3.600 s/h = 4,314 m3/h</t>
  </si>
  <si>
    <t>Qi/A = 4,3164 m3/h/48 m2 =</t>
  </si>
  <si>
    <t>m3/h</t>
  </si>
  <si>
    <t>m/hora</t>
  </si>
  <si>
    <t>8,99 cm/h</t>
  </si>
  <si>
    <t>infiltrada</t>
  </si>
  <si>
    <t>Lámina infiltrada d = I * t</t>
  </si>
  <si>
    <r>
      <t xml:space="preserve">d = 8,99 cm/h * 13 5 min/60 min/h= </t>
    </r>
    <r>
      <rPr>
        <sz val="12"/>
        <color rgb="FFFF0000"/>
        <rFont val="Arial"/>
        <family val="2"/>
      </rPr>
      <t>2,02275 cm</t>
    </r>
  </si>
  <si>
    <t>La ec. de velocidad de infiltración es I (cm/h) 40,713 * t (min) exp -0,687</t>
  </si>
  <si>
    <t>Integrando la I</t>
  </si>
  <si>
    <t>Para graficar</t>
  </si>
  <si>
    <t>K</t>
  </si>
  <si>
    <t>N</t>
  </si>
  <si>
    <t>t exp N</t>
  </si>
  <si>
    <t>Iac cm</t>
  </si>
  <si>
    <t xml:space="preserve">Ip (cm/h) = Iac (cm) / t total (min) </t>
  </si>
  <si>
    <t xml:space="preserve">t= 350 min, 350 exp -0,614 = </t>
  </si>
  <si>
    <t>MEDICION DE LA VELOCIDAD DE INFILTRACION Y CONSTRUCCION DE LA ECUACION QUE LA REPRESENTA</t>
  </si>
  <si>
    <t>I (cm/h) = 37,449 * t (min) exp -0,614</t>
  </si>
  <si>
    <t>Cálculo de la Infiltración promedio: es el promedio de las velocidades de infiltración</t>
  </si>
  <si>
    <t>Puede calcularse de 3 maneras:</t>
  </si>
  <si>
    <t xml:space="preserve">a) El promedio de las I. </t>
  </si>
  <si>
    <t>n=21</t>
  </si>
  <si>
    <t xml:space="preserve">Ip (cm/h) </t>
  </si>
  <si>
    <t>161,2/21</t>
  </si>
  <si>
    <t>b) El cociente entre la lámina acumulada y el tiempo total</t>
  </si>
  <si>
    <t xml:space="preserve"> Iac (cm) = 1,617 * t (min) exp 0,386= </t>
  </si>
  <si>
    <t>c) Ec. de Ip = Iac/t = 1,617 * t exp 0,386 /t = 1,617 *t exp (0,386-1) = 1,617 * t exp -0,614</t>
  </si>
  <si>
    <t>Ip (cm/h) = 1,617 * t (min) exp -0,614</t>
  </si>
  <si>
    <t>Cálculo de la infiltración básica y del tiempo base.</t>
  </si>
  <si>
    <t xml:space="preserve">La Ib se alcanza cuando la I se hace constante. </t>
  </si>
  <si>
    <t>Para el SCS-USA la Ib se alcanza cuando la tasa de cambio de la I es del 10% o menor.</t>
  </si>
  <si>
    <r>
      <t>Matemáticamente dI / dt = -0,1</t>
    </r>
    <r>
      <rPr>
        <b/>
        <sz val="12"/>
        <color theme="1"/>
        <rFont val="Arial"/>
        <family val="2"/>
      </rPr>
      <t xml:space="preserve"> I </t>
    </r>
    <r>
      <rPr>
        <sz val="12"/>
        <color theme="1"/>
        <rFont val="Arial"/>
        <family val="2"/>
      </rPr>
      <t>= -0,1 k * t exp n</t>
    </r>
  </si>
  <si>
    <t>tb = - 10 n</t>
  </si>
  <si>
    <t xml:space="preserve">Cuando la dimensión de I es cm/h </t>
  </si>
  <si>
    <t>Infiltración básica Ib (cm/h) = k * (-600*n ) exp n</t>
  </si>
  <si>
    <t>I (cm/h) = 37,45 * t (min) exp -0,614</t>
  </si>
  <si>
    <t>Tiempo base tb (min)  = -600 * n =</t>
  </si>
  <si>
    <t xml:space="preserve">Ib (cm/h) = 37,45 * 368,4 min exp -0,614 = </t>
  </si>
  <si>
    <t>n=47</t>
  </si>
  <si>
    <t>t= 135,5 min</t>
  </si>
  <si>
    <t>60 min/h</t>
  </si>
  <si>
    <t>c) Ec. de Ip = Iac/t = 18,78 * t exp 0,313 /t = 18,78 *t exp (0,313-1) = 18,78 * t exp -0,687</t>
  </si>
  <si>
    <t xml:space="preserve">t= 135,5 min, 135,5 exp -0,687 = </t>
  </si>
  <si>
    <t>La ec. de infiltración acumulada es Iac (cm) = 2,168 * t (min) exp 0,313</t>
  </si>
  <si>
    <t xml:space="preserve"> Iac (cm) = 2,168 * t (min) exp 0,313= </t>
  </si>
  <si>
    <t>Ip (cm/h) = 2,168 * t (min) exp -0,614</t>
  </si>
  <si>
    <t>I (cm/h) = 40,713 * t (min) exp -0,687</t>
  </si>
  <si>
    <t xml:space="preserve">Ib (cm/h) = 40,713 * 412,2 min exp -0,687=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</si>
</sst>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164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164" fontId="6" fillId="0" borderId="0" xfId="0" applyNumberFormat="1" applyFont="1"/>
    <xf numFmtId="165" fontId="0" fillId="0" borderId="0" xfId="0" applyNumberFormat="1"/>
    <xf numFmtId="2" fontId="1" fillId="0" borderId="0" xfId="0" applyNumberFormat="1" applyFont="1"/>
    <xf numFmtId="0" fontId="6" fillId="0" borderId="8" xfId="0" applyFont="1" applyBorder="1"/>
    <xf numFmtId="0" fontId="1" fillId="0" borderId="5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" xfId="0" applyNumberFormat="1" applyFont="1" applyBorder="1"/>
    <xf numFmtId="2" fontId="6" fillId="0" borderId="0" xfId="0" applyNumberFormat="1" applyFont="1"/>
    <xf numFmtId="164" fontId="0" fillId="0" borderId="0" xfId="0" applyNumberFormat="1" applyBorder="1" applyAlignment="1">
      <alignment horizontal="center"/>
    </xf>
    <xf numFmtId="164" fontId="11" fillId="0" borderId="0" xfId="0" applyNumberFormat="1" applyFont="1"/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Curva de ajuste de los datos de campo (modelo potencial)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1.2638527480202314E-2"/>
                  <c:y val="-0.303688393117526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AR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0"/>
            <c:trendlineLbl>
              <c:layout>
                <c:manualLayout>
                  <c:x val="-8.0938123077962901E-2"/>
                  <c:y val="-0.15901246719160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Hoja1!$J$18:$J$26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12</c:v>
                </c:pt>
                <c:pt idx="4">
                  <c:v>22</c:v>
                </c:pt>
                <c:pt idx="5">
                  <c:v>32</c:v>
                </c:pt>
                <c:pt idx="6">
                  <c:v>52</c:v>
                </c:pt>
                <c:pt idx="7">
                  <c:v>72</c:v>
                </c:pt>
                <c:pt idx="8">
                  <c:v>102</c:v>
                </c:pt>
              </c:numCache>
            </c:numRef>
          </c:xVal>
          <c:yVal>
            <c:numRef>
              <c:f>Hoja1!$K$18:$K$26</c:f>
              <c:numCache>
                <c:formatCode>General</c:formatCode>
                <c:ptCount val="9"/>
                <c:pt idx="0">
                  <c:v>35.999999999999979</c:v>
                </c:pt>
                <c:pt idx="1">
                  <c:v>30</c:v>
                </c:pt>
                <c:pt idx="2">
                  <c:v>10.800000000000004</c:v>
                </c:pt>
                <c:pt idx="3">
                  <c:v>9.6000000000000085</c:v>
                </c:pt>
                <c:pt idx="4">
                  <c:v>3.5999999999999979</c:v>
                </c:pt>
                <c:pt idx="5">
                  <c:v>4.1999999999999957</c:v>
                </c:pt>
                <c:pt idx="6">
                  <c:v>2.7000000000000011</c:v>
                </c:pt>
                <c:pt idx="7">
                  <c:v>3</c:v>
                </c:pt>
                <c:pt idx="8">
                  <c:v>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1D3-4B81-B22D-9E52BB61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736144"/>
        <c:axId val="1308737776"/>
      </c:scatterChart>
      <c:valAx>
        <c:axId val="130873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Tiempo acumulado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08737776"/>
        <c:crosses val="autoZero"/>
        <c:crossBetween val="midCat"/>
      </c:valAx>
      <c:valAx>
        <c:axId val="130873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100" b="0" i="0" baseline="0">
                    <a:latin typeface="Arial" panose="020B0604020202020204" pitchFamily="34" charset="0"/>
                  </a:rPr>
                  <a:t>Velocidad de infiltración I (cm/h)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08736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Curva de I con</a:t>
            </a:r>
            <a:r>
              <a:rPr lang="en-US" b="1" baseline="0"/>
              <a:t> datos calculados con la ecuación construida con el ajuste de los datos de campo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4727952755905516"/>
                  <c:y val="-0.3136191309419655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baseline="0"/>
                      <a:t>y = 37,45x</a:t>
                    </a:r>
                    <a:r>
                      <a:rPr lang="en-US" sz="1600" b="1" baseline="30000"/>
                      <a:t>-0,614</a:t>
                    </a:r>
                    <a:r>
                      <a:rPr lang="en-US" sz="1600" b="1" baseline="0"/>
                      <a:t/>
                    </a:r>
                    <a:br>
                      <a:rPr lang="en-US" sz="1600" b="1" baseline="0"/>
                    </a:br>
                    <a:r>
                      <a:rPr lang="en-US" sz="1600" b="1" baseline="0"/>
                      <a:t>R² = 1</a:t>
                    </a:r>
                    <a:endParaRPr lang="en-US" sz="16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Hoja1!$M$57:$M$77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14</c:v>
                </c:pt>
                <c:pt idx="7">
                  <c:v>19</c:v>
                </c:pt>
                <c:pt idx="8">
                  <c:v>24</c:v>
                </c:pt>
                <c:pt idx="9">
                  <c:v>34</c:v>
                </c:pt>
                <c:pt idx="10">
                  <c:v>44</c:v>
                </c:pt>
                <c:pt idx="11">
                  <c:v>54</c:v>
                </c:pt>
                <c:pt idx="12">
                  <c:v>74</c:v>
                </c:pt>
                <c:pt idx="13">
                  <c:v>94</c:v>
                </c:pt>
                <c:pt idx="14">
                  <c:v>114</c:v>
                </c:pt>
                <c:pt idx="15">
                  <c:v>144</c:v>
                </c:pt>
                <c:pt idx="16">
                  <c:v>174</c:v>
                </c:pt>
                <c:pt idx="17">
                  <c:v>204</c:v>
                </c:pt>
                <c:pt idx="18">
                  <c:v>254</c:v>
                </c:pt>
                <c:pt idx="19">
                  <c:v>304</c:v>
                </c:pt>
                <c:pt idx="20">
                  <c:v>354</c:v>
                </c:pt>
              </c:numCache>
            </c:numRef>
          </c:xVal>
          <c:yVal>
            <c:numRef>
              <c:f>Hoja1!$N$57:$N$77</c:f>
              <c:numCache>
                <c:formatCode>0.0</c:formatCode>
                <c:ptCount val="21"/>
                <c:pt idx="0">
                  <c:v>37.450000000000003</c:v>
                </c:pt>
                <c:pt idx="1">
                  <c:v>24.469179379149672</c:v>
                </c:pt>
                <c:pt idx="2">
                  <c:v>19.076529638853746</c:v>
                </c:pt>
                <c:pt idx="3">
                  <c:v>13.940689020992378</c:v>
                </c:pt>
                <c:pt idx="4">
                  <c:v>11.338657198337865</c:v>
                </c:pt>
                <c:pt idx="5">
                  <c:v>9.7173293207494087</c:v>
                </c:pt>
                <c:pt idx="6">
                  <c:v>7.4084816262968207</c:v>
                </c:pt>
                <c:pt idx="7">
                  <c:v>6.141820378217548</c:v>
                </c:pt>
                <c:pt idx="8">
                  <c:v>5.3211085628916921</c:v>
                </c:pt>
                <c:pt idx="9">
                  <c:v>4.296588552111646</c:v>
                </c:pt>
                <c:pt idx="10">
                  <c:v>3.6675148303085976</c:v>
                </c:pt>
                <c:pt idx="11">
                  <c:v>3.2341641109643295</c:v>
                </c:pt>
                <c:pt idx="12">
                  <c:v>2.6652843310063039</c:v>
                </c:pt>
                <c:pt idx="13">
                  <c:v>2.3011838632193724</c:v>
                </c:pt>
                <c:pt idx="14">
                  <c:v>2.0441475623148526</c:v>
                </c:pt>
                <c:pt idx="15">
                  <c:v>1.7709946608377471</c:v>
                </c:pt>
                <c:pt idx="16">
                  <c:v>1.5767200257689751</c:v>
                </c:pt>
                <c:pt idx="17">
                  <c:v>1.4300094229746683</c:v>
                </c:pt>
                <c:pt idx="18">
                  <c:v>1.249924900630603</c:v>
                </c:pt>
                <c:pt idx="19">
                  <c:v>1.1193539643059962</c:v>
                </c:pt>
                <c:pt idx="20">
                  <c:v>1.0194450445861385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47-40D6-95BB-9A5BAAC2E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349040"/>
        <c:axId val="1450359376"/>
      </c:scatterChart>
      <c:valAx>
        <c:axId val="145034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9376"/>
        <c:crosses val="autoZero"/>
        <c:crossBetween val="midCat"/>
      </c:valAx>
      <c:valAx>
        <c:axId val="14503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4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189987121177"/>
          <c:y val="0.17354978354978354"/>
          <c:w val="0.85321139205425411"/>
          <c:h val="0.6402887139107611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4.4273178801167795E-2"/>
                  <c:y val="-0.160562770562770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Hoja1!$G$83:$G$97</c:f>
              <c:numCache>
                <c:formatCode>General</c:formatCode>
                <c:ptCount val="1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100</c:v>
                </c:pt>
                <c:pt idx="12">
                  <c:v>200</c:v>
                </c:pt>
                <c:pt idx="13">
                  <c:v>300</c:v>
                </c:pt>
                <c:pt idx="14">
                  <c:v>350</c:v>
                </c:pt>
              </c:numCache>
            </c:numRef>
          </c:xVal>
          <c:yVal>
            <c:numRef>
              <c:f>Hoja1!$H$83:$H$97</c:f>
              <c:numCache>
                <c:formatCode>0.00</c:formatCode>
                <c:ptCount val="15"/>
                <c:pt idx="0">
                  <c:v>1.617</c:v>
                </c:pt>
                <c:pt idx="1">
                  <c:v>3.0096253867749896</c:v>
                </c:pt>
                <c:pt idx="2">
                  <c:v>3.9328738826723595</c:v>
                </c:pt>
                <c:pt idx="3">
                  <c:v>4.5991888832571224</c:v>
                </c:pt>
                <c:pt idx="4">
                  <c:v>5.1393429378201763</c:v>
                </c:pt>
                <c:pt idx="5">
                  <c:v>5.6016357258630203</c:v>
                </c:pt>
                <c:pt idx="6">
                  <c:v>6.0100602287321543</c:v>
                </c:pt>
                <c:pt idx="7">
                  <c:v>6.3785253375806752</c:v>
                </c:pt>
                <c:pt idx="8">
                  <c:v>6.7159147789846694</c:v>
                </c:pt>
                <c:pt idx="9">
                  <c:v>7.0282961051648458</c:v>
                </c:pt>
                <c:pt idx="10">
                  <c:v>7.3200229315244609</c:v>
                </c:pt>
                <c:pt idx="11">
                  <c:v>9.5655516246174166</c:v>
                </c:pt>
                <c:pt idx="12">
                  <c:v>12.499930497371428</c:v>
                </c:pt>
                <c:pt idx="13">
                  <c:v>14.617692583097435</c:v>
                </c:pt>
                <c:pt idx="14">
                  <c:v>15.513874898042628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DD5-4B05-8DD1-463DB259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352848"/>
        <c:axId val="1450353392"/>
      </c:scatterChart>
      <c:valAx>
        <c:axId val="145035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Tiempo (minutos)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3392"/>
        <c:crosses val="autoZero"/>
        <c:crossBetween val="midCat"/>
      </c:valAx>
      <c:valAx>
        <c:axId val="145035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Infiltración acumulada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Veloc.</a:t>
            </a:r>
            <a:r>
              <a:rPr lang="en-US" baseline="0"/>
              <a:t> de infiltración </a:t>
            </a:r>
            <a:r>
              <a:rPr lang="en-US"/>
              <a:t>con datos de surcos infiltrómetros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5.4243753762337248E-2"/>
          <c:y val="0.13065772438822507"/>
          <c:w val="0.91193442051970997"/>
          <c:h val="0.7712021846325812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4925" cap="rnd">
                <a:solidFill>
                  <a:schemeClr val="tx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3594722460640287E-2"/>
                  <c:y val="-0.5117413969087197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40,713x</a:t>
                    </a:r>
                    <a:r>
                      <a:rPr lang="en-US" sz="1600" baseline="30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-0,687</a:t>
                    </a:r>
                    <a:r>
                      <a:rPr lang="en-US" sz="16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/>
                    </a:r>
                    <a:br>
                      <a:rPr lang="en-US" sz="16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6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0,9605</a:t>
                    </a:r>
                    <a:endParaRPr lang="en-US" sz="16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Hoja1!$K$191:$K$237</c:f>
              <c:numCache>
                <c:formatCode>General</c:formatCode>
                <c:ptCount val="47"/>
                <c:pt idx="0">
                  <c:v>13.5</c:v>
                </c:pt>
                <c:pt idx="1">
                  <c:v>15.5</c:v>
                </c:pt>
                <c:pt idx="2">
                  <c:v>17.5</c:v>
                </c:pt>
                <c:pt idx="3">
                  <c:v>19.5</c:v>
                </c:pt>
                <c:pt idx="4">
                  <c:v>21.5</c:v>
                </c:pt>
                <c:pt idx="5">
                  <c:v>23.5</c:v>
                </c:pt>
                <c:pt idx="6">
                  <c:v>25.5</c:v>
                </c:pt>
                <c:pt idx="7">
                  <c:v>27.5</c:v>
                </c:pt>
                <c:pt idx="8">
                  <c:v>30.5</c:v>
                </c:pt>
                <c:pt idx="9">
                  <c:v>32.5</c:v>
                </c:pt>
                <c:pt idx="10">
                  <c:v>34.5</c:v>
                </c:pt>
                <c:pt idx="11">
                  <c:v>36.5</c:v>
                </c:pt>
                <c:pt idx="12">
                  <c:v>38.5</c:v>
                </c:pt>
                <c:pt idx="13">
                  <c:v>40.5</c:v>
                </c:pt>
                <c:pt idx="14">
                  <c:v>42.5</c:v>
                </c:pt>
                <c:pt idx="15">
                  <c:v>44.5</c:v>
                </c:pt>
                <c:pt idx="16">
                  <c:v>46.5</c:v>
                </c:pt>
                <c:pt idx="17">
                  <c:v>48.5</c:v>
                </c:pt>
                <c:pt idx="18">
                  <c:v>50.5</c:v>
                </c:pt>
                <c:pt idx="19">
                  <c:v>52.5</c:v>
                </c:pt>
                <c:pt idx="20">
                  <c:v>54.5</c:v>
                </c:pt>
                <c:pt idx="21">
                  <c:v>56.5</c:v>
                </c:pt>
                <c:pt idx="22">
                  <c:v>58.5</c:v>
                </c:pt>
                <c:pt idx="23">
                  <c:v>60.5</c:v>
                </c:pt>
                <c:pt idx="24">
                  <c:v>62.5</c:v>
                </c:pt>
                <c:pt idx="25">
                  <c:v>64.5</c:v>
                </c:pt>
                <c:pt idx="26">
                  <c:v>66.5</c:v>
                </c:pt>
                <c:pt idx="27">
                  <c:v>68.5</c:v>
                </c:pt>
                <c:pt idx="28">
                  <c:v>70.5</c:v>
                </c:pt>
                <c:pt idx="29">
                  <c:v>72.5</c:v>
                </c:pt>
                <c:pt idx="30">
                  <c:v>74.5</c:v>
                </c:pt>
                <c:pt idx="31">
                  <c:v>76.5</c:v>
                </c:pt>
                <c:pt idx="32">
                  <c:v>78.5</c:v>
                </c:pt>
                <c:pt idx="33">
                  <c:v>80.5</c:v>
                </c:pt>
                <c:pt idx="34">
                  <c:v>82.5</c:v>
                </c:pt>
                <c:pt idx="35">
                  <c:v>84.5</c:v>
                </c:pt>
                <c:pt idx="36">
                  <c:v>86.5</c:v>
                </c:pt>
                <c:pt idx="37">
                  <c:v>88.5</c:v>
                </c:pt>
                <c:pt idx="38">
                  <c:v>90.5</c:v>
                </c:pt>
                <c:pt idx="39">
                  <c:v>100.5</c:v>
                </c:pt>
                <c:pt idx="40">
                  <c:v>105.5</c:v>
                </c:pt>
                <c:pt idx="41">
                  <c:v>110.5</c:v>
                </c:pt>
                <c:pt idx="42">
                  <c:v>115.5</c:v>
                </c:pt>
                <c:pt idx="43">
                  <c:v>120.5</c:v>
                </c:pt>
                <c:pt idx="44">
                  <c:v>125.5</c:v>
                </c:pt>
                <c:pt idx="45">
                  <c:v>130.5</c:v>
                </c:pt>
                <c:pt idx="46" formatCode="0.0">
                  <c:v>135.5</c:v>
                </c:pt>
              </c:numCache>
            </c:numRef>
          </c:xVal>
          <c:yVal>
            <c:numRef>
              <c:f>Hoja1!$L$191:$L$237</c:f>
              <c:numCache>
                <c:formatCode>General</c:formatCode>
                <c:ptCount val="47"/>
                <c:pt idx="0">
                  <c:v>8.99</c:v>
                </c:pt>
                <c:pt idx="1">
                  <c:v>6.89</c:v>
                </c:pt>
                <c:pt idx="2">
                  <c:v>5.85</c:v>
                </c:pt>
                <c:pt idx="3">
                  <c:v>5.17</c:v>
                </c:pt>
                <c:pt idx="4">
                  <c:v>4.93</c:v>
                </c:pt>
                <c:pt idx="5">
                  <c:v>4.78</c:v>
                </c:pt>
                <c:pt idx="6">
                  <c:v>4.5599999999999996</c:v>
                </c:pt>
                <c:pt idx="7">
                  <c:v>4.33</c:v>
                </c:pt>
                <c:pt idx="8">
                  <c:v>4.09</c:v>
                </c:pt>
                <c:pt idx="9">
                  <c:v>3.26</c:v>
                </c:pt>
                <c:pt idx="10">
                  <c:v>2.79</c:v>
                </c:pt>
                <c:pt idx="11">
                  <c:v>2.64</c:v>
                </c:pt>
                <c:pt idx="12">
                  <c:v>3.05</c:v>
                </c:pt>
                <c:pt idx="13">
                  <c:v>3.05</c:v>
                </c:pt>
                <c:pt idx="14">
                  <c:v>3.05</c:v>
                </c:pt>
                <c:pt idx="15">
                  <c:v>3.05</c:v>
                </c:pt>
                <c:pt idx="16">
                  <c:v>2.87</c:v>
                </c:pt>
                <c:pt idx="17">
                  <c:v>2.87</c:v>
                </c:pt>
                <c:pt idx="18">
                  <c:v>2.87</c:v>
                </c:pt>
                <c:pt idx="19">
                  <c:v>2.69</c:v>
                </c:pt>
                <c:pt idx="20">
                  <c:v>2.69</c:v>
                </c:pt>
                <c:pt idx="21">
                  <c:v>2.5099999999999998</c:v>
                </c:pt>
                <c:pt idx="22">
                  <c:v>2.5099999999999998</c:v>
                </c:pt>
                <c:pt idx="23">
                  <c:v>2.5099999999999998</c:v>
                </c:pt>
                <c:pt idx="24">
                  <c:v>2.3199999999999998</c:v>
                </c:pt>
                <c:pt idx="25">
                  <c:v>2.3199999999999998</c:v>
                </c:pt>
                <c:pt idx="26">
                  <c:v>2.3199999999999998</c:v>
                </c:pt>
                <c:pt idx="27">
                  <c:v>2.14</c:v>
                </c:pt>
                <c:pt idx="28">
                  <c:v>2.14</c:v>
                </c:pt>
                <c:pt idx="29">
                  <c:v>2.14</c:v>
                </c:pt>
                <c:pt idx="30">
                  <c:v>1.96</c:v>
                </c:pt>
                <c:pt idx="31">
                  <c:v>1.96</c:v>
                </c:pt>
                <c:pt idx="32">
                  <c:v>1.96</c:v>
                </c:pt>
                <c:pt idx="33">
                  <c:v>1.96</c:v>
                </c:pt>
                <c:pt idx="34">
                  <c:v>1.96</c:v>
                </c:pt>
                <c:pt idx="35">
                  <c:v>1.96</c:v>
                </c:pt>
                <c:pt idx="36">
                  <c:v>1.96</c:v>
                </c:pt>
                <c:pt idx="37">
                  <c:v>1.77</c:v>
                </c:pt>
                <c:pt idx="38">
                  <c:v>1.77</c:v>
                </c:pt>
                <c:pt idx="39">
                  <c:v>1.77</c:v>
                </c:pt>
                <c:pt idx="40">
                  <c:v>1.77</c:v>
                </c:pt>
                <c:pt idx="41">
                  <c:v>1.77</c:v>
                </c:pt>
                <c:pt idx="42">
                  <c:v>1.57</c:v>
                </c:pt>
                <c:pt idx="43">
                  <c:v>1.57</c:v>
                </c:pt>
                <c:pt idx="44">
                  <c:v>1.57</c:v>
                </c:pt>
                <c:pt idx="45">
                  <c:v>1.57</c:v>
                </c:pt>
                <c:pt idx="46">
                  <c:v>1.57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3BF-46CD-8B2F-AC447B62A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350672"/>
        <c:axId val="1450355568"/>
      </c:scatterChart>
      <c:valAx>
        <c:axId val="145035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Tiempo acumulado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5568"/>
        <c:crosses val="autoZero"/>
        <c:crossBetween val="midCat"/>
      </c:valAx>
      <c:valAx>
        <c:axId val="14503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aseline="0">
                    <a:latin typeface="Arial" panose="020B0604020202020204" pitchFamily="34" charset="0"/>
                  </a:rPr>
                  <a:t>Veloc. de infiltración I (cm/h)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smooth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450353936"/>
        <c:axId val="1450351216"/>
      </c:scatterChart>
      <c:valAx>
        <c:axId val="145035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Tiempo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1216"/>
        <c:crosses val="autoZero"/>
        <c:crossBetween val="midCat"/>
      </c:valAx>
      <c:valAx>
        <c:axId val="14503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Infiltración acumulada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5072484689413823"/>
                  <c:y val="-0.170047754447360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Hoja1!$G$277:$G$284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120</c:v>
                </c:pt>
                <c:pt idx="7">
                  <c:v>135.5</c:v>
                </c:pt>
              </c:numCache>
            </c:numRef>
          </c:xVal>
          <c:yVal>
            <c:numRef>
              <c:f>Hoja1!$H$277:$H$284</c:f>
              <c:numCache>
                <c:formatCode>0.0</c:formatCode>
                <c:ptCount val="8"/>
                <c:pt idx="0">
                  <c:v>2.1680000000000001</c:v>
                </c:pt>
                <c:pt idx="1">
                  <c:v>4.4571708120936195</c:v>
                </c:pt>
                <c:pt idx="2">
                  <c:v>6.286345272195148</c:v>
                </c:pt>
                <c:pt idx="3">
                  <c:v>7.3762714272050953</c:v>
                </c:pt>
                <c:pt idx="4">
                  <c:v>8.3743952245883229</c:v>
                </c:pt>
                <c:pt idx="5">
                  <c:v>9.1634555572782741</c:v>
                </c:pt>
                <c:pt idx="6">
                  <c:v>9.7015920321542364</c:v>
                </c:pt>
                <c:pt idx="7">
                  <c:v>10.077580529506344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537-43CA-A3DF-9D748228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359920"/>
        <c:axId val="1450351760"/>
      </c:scatterChart>
      <c:valAx>
        <c:axId val="145035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1760"/>
        <c:crosses val="autoZero"/>
        <c:crossBetween val="midCat"/>
      </c:valAx>
      <c:valAx>
        <c:axId val="145035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5035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76200</xdr:rowOff>
    </xdr:from>
    <xdr:ext cx="5048250" cy="4952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0" y="8734425"/>
              <a:ext cx="5048250" cy="4952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nary>
                    <m:naryPr>
                      <m:ctrlPr>
                        <a:rPr lang="en-US" sz="1400" b="1" i="1"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es-ES" sz="14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  <m:sup>
                      <m:r>
                        <a:rPr lang="es-ES" sz="1400" b="1" i="1">
                          <a:latin typeface="Cambria Math" panose="02040503050406030204" pitchFamily="18" charset="0"/>
                        </a:rPr>
                        <m:t>𝒕</m:t>
                      </m:r>
                    </m:sup>
                    <m:e>
                      <m:r>
                        <a:rPr lang="es-ES" sz="1400" b="1" i="1">
                          <a:latin typeface="Cambria Math" panose="02040503050406030204" pitchFamily="18" charset="0"/>
                        </a:rPr>
                        <m:t>𝑰</m:t>
                      </m:r>
                      <m:r>
                        <a:rPr lang="es-ES" sz="1400" b="1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ES" sz="1400" b="1" i="1">
                          <a:latin typeface="Cambria Math" panose="02040503050406030204" pitchFamily="18" charset="0"/>
                        </a:rPr>
                        <m:t>𝒅𝒕</m:t>
                      </m:r>
                      <m:r>
                        <a:rPr lang="es-ES" sz="1400" b="1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es-ES" sz="1400" b="1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𝟑𝟕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,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𝟒𝟓</m:t>
                          </m:r>
                        </m:num>
                        <m:den>
                          <m:d>
                            <m:dPr>
                              <m:ctrlPr>
                                <a:rPr lang="es-ES" sz="1400" b="1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lang="es-ES" sz="1400" b="1" i="1">
                                  <a:latin typeface="Cambria Math" panose="02040503050406030204" pitchFamily="18" charset="0"/>
                                </a:rPr>
                                <m:t>−</m:t>
                              </m:r>
                              <m:r>
                                <a:rPr lang="es-ES" sz="1400" b="1" i="1">
                                  <a:latin typeface="Cambria Math" panose="02040503050406030204" pitchFamily="18" charset="0"/>
                                </a:rPr>
                                <m:t>𝟎</m:t>
                              </m:r>
                              <m:r>
                                <a:rPr lang="es-ES" sz="1400" b="1" i="1">
                                  <a:latin typeface="Cambria Math" panose="02040503050406030204" pitchFamily="18" charset="0"/>
                                </a:rPr>
                                <m:t>,</m:t>
                              </m:r>
                              <m:r>
                                <a:rPr lang="es-ES" sz="1400" b="1" i="1">
                                  <a:latin typeface="Cambria Math" panose="02040503050406030204" pitchFamily="18" charset="0"/>
                                </a:rPr>
                                <m:t>𝟔𝟏𝟒</m:t>
                              </m:r>
                              <m:r>
                                <a:rPr lang="es-ES" sz="1400" b="1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r>
                                <a:rPr lang="es-ES" sz="1400" b="1" i="1">
                                  <a:latin typeface="Cambria Math" panose="02040503050406030204" pitchFamily="18" charset="0"/>
                                </a:rPr>
                                <m:t>𝟏</m:t>
                              </m:r>
                            </m:e>
                          </m:d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∗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𝟔𝟎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𝒎𝒊𝒏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/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𝒉𝒐𝒓𝒂</m:t>
                          </m:r>
                        </m:den>
                      </m:f>
                      <m:r>
                        <a:rPr lang="es-ES" sz="1400" b="1" i="1">
                          <a:latin typeface="Cambria Math" panose="02040503050406030204" pitchFamily="18" charset="0"/>
                        </a:rPr>
                        <m:t> ∗</m:t>
                      </m:r>
                      <m:r>
                        <a:rPr lang="es-ES" sz="1400" b="1" i="1">
                          <a:latin typeface="Cambria Math" panose="02040503050406030204" pitchFamily="18" charset="0"/>
                        </a:rPr>
                        <m:t>𝒕</m:t>
                      </m:r>
                      <m:r>
                        <a:rPr lang="es-ES" sz="1400" b="1" i="1">
                          <a:latin typeface="Cambria Math" panose="02040503050406030204" pitchFamily="18" charset="0"/>
                        </a:rPr>
                        <m:t> (</m:t>
                      </m:r>
                      <m:func>
                        <m:funcPr>
                          <m:ctrlPr>
                            <a:rPr lang="es-ES" sz="1400" b="1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a:rPr lang="es-ES" sz="1400" b="1" i="0">
                              <a:latin typeface="Cambria Math" panose="02040503050406030204" pitchFamily="18" charset="0"/>
                            </a:rPr>
                            <m:t>𝐦𝐢𝐧</m:t>
                          </m:r>
                          <m:r>
                            <a:rPr lang="es-ES" sz="1400" b="1" i="0">
                              <a:latin typeface="Cambria Math" panose="02040503050406030204" pitchFamily="18" charset="0"/>
                            </a:rPr>
                            <m:t>)</m:t>
                          </m:r>
                        </m:fName>
                        <m:e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𝒆𝒙𝒑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(−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𝟎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,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𝟔𝟏𝟒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𝟏</m:t>
                          </m:r>
                          <m:r>
                            <a:rPr lang="es-ES" sz="1400" b="1" i="1">
                              <a:latin typeface="Cambria Math" panose="02040503050406030204" pitchFamily="18" charset="0"/>
                            </a:rPr>
                            <m:t>)</m:t>
                          </m:r>
                        </m:e>
                      </m:func>
                      <m:r>
                        <a:rPr lang="es-ES" sz="1400" b="1" i="1">
                          <a:latin typeface="Cambria Math" panose="02040503050406030204" pitchFamily="18" charset="0"/>
                        </a:rPr>
                        <m:t> </m:t>
                      </m:r>
                    </m:e>
                  </m:nary>
                </m:oMath>
              </a14:m>
              <a:r>
                <a:rPr lang="en-US" sz="1200" b="1"/>
                <a:t>= </a:t>
              </a: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0" y="8734425"/>
              <a:ext cx="5048250" cy="4952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400" b="1" i="0">
                  <a:latin typeface="Cambria Math" panose="02040503050406030204" pitchFamily="18" charset="0"/>
                </a:rPr>
                <a:t>∫</a:t>
              </a:r>
              <a:r>
                <a:rPr lang="es-ES" sz="1400" b="1" i="0">
                  <a:latin typeface="Cambria Math" panose="02040503050406030204" pitchFamily="18" charset="0"/>
                </a:rPr>
                <a:t>_𝟎^𝒕▒〖𝑰 𝒅𝒕=(𝟑𝟕,𝟒𝟓)/((−𝟎,𝟔𝟏𝟒+𝟏)∗𝟔𝟎 𝒎𝒊𝒏/𝒉𝒐𝒓𝒂)  ∗𝒕 (〖𝐦𝐢𝐧)〗⁡〖𝒆𝒙𝒑(−𝟎,𝟔𝟏𝟒+𝟏)〗  〗</a:t>
              </a:r>
              <a:r>
                <a:rPr lang="en-US" sz="1200" b="1"/>
                <a:t>= </a:t>
              </a:r>
            </a:p>
          </xdr:txBody>
        </xdr:sp>
      </mc:Fallback>
    </mc:AlternateContent>
    <xdr:clientData/>
  </xdr:oneCellAnchor>
  <xdr:twoCellAnchor>
    <xdr:from>
      <xdr:col>0</xdr:col>
      <xdr:colOff>104775</xdr:colOff>
      <xdr:row>28</xdr:row>
      <xdr:rowOff>19050</xdr:rowOff>
    </xdr:from>
    <xdr:to>
      <xdr:col>5</xdr:col>
      <xdr:colOff>733425</xdr:colOff>
      <xdr:row>41</xdr:row>
      <xdr:rowOff>161925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28575</xdr:rowOff>
    </xdr:from>
    <xdr:to>
      <xdr:col>6</xdr:col>
      <xdr:colOff>114300</xdr:colOff>
      <xdr:row>67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99</xdr:row>
      <xdr:rowOff>9525</xdr:rowOff>
    </xdr:from>
    <xdr:to>
      <xdr:col>8</xdr:col>
      <xdr:colOff>19050</xdr:colOff>
      <xdr:row>114</xdr:row>
      <xdr:rowOff>19050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123823</xdr:colOff>
      <xdr:row>243</xdr:row>
      <xdr:rowOff>133349</xdr:rowOff>
    </xdr:from>
    <xdr:to>
      <xdr:col>8</xdr:col>
      <xdr:colOff>714374</xdr:colOff>
      <xdr:row>262</xdr:row>
      <xdr:rowOff>47624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0</xdr:colOff>
      <xdr:row>266</xdr:row>
      <xdr:rowOff>0</xdr:rowOff>
    </xdr:from>
    <xdr:ext cx="5048250" cy="4952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1524000" y="45177075"/>
              <a:ext cx="5048250" cy="49529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nary>
                    <m:naryPr>
                      <m:ctrlPr>
                        <a:rPr kumimoji="0" lang="en-U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𝟎</m:t>
                      </m:r>
                    </m:sub>
                    <m:sup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p>
                    <m:e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</m:t>
                      </m:r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𝒅𝒕</m:t>
                      </m:r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f>
                        <m:fPr>
                          <m:ctrlP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𝟒𝟎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,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𝟏𝟕𝟑</m:t>
                          </m:r>
                        </m:num>
                        <m:den>
                          <m:d>
                            <m:dPr>
                              <m:ctrlP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,</m:t>
                              </m:r>
                              <m: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𝟔𝟖𝟕</m:t>
                              </m:r>
                              <m: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0" lang="es-ES" sz="1400" b="1" i="1" u="none" strike="noStrike" kern="0" cap="none" spc="0" normalizeH="0" baseline="0" noProof="0">
                                  <a:ln>
                                    <a:noFill/>
                                  </a:ln>
                                  <a:solidFill>
                                    <a:sysClr val="windowText" lastClr="000000"/>
                                  </a:solidFill>
                                  <a:effectLst/>
                                  <a:uLnTx/>
                                  <a:uFillTx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</m:t>
                              </m:r>
                            </m:e>
                          </m:d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𝟔𝟎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𝒎𝒊𝒏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/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𝒉𝒐𝒓𝒂</m:t>
                          </m:r>
                        </m:den>
                      </m:f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(</m:t>
                      </m:r>
                      <m:func>
                        <m:funcPr>
                          <m:ctrlP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a:rPr kumimoji="0" lang="es-ES" sz="14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𝐦𝐢𝐧</m:t>
                          </m:r>
                          <m:r>
                            <a:rPr kumimoji="0" lang="es-ES" sz="1400" b="1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)</m:t>
                          </m:r>
                        </m:fName>
                        <m:e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𝒆𝒙𝒑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(−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,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𝟔𝟖𝟕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kumimoji="0" lang="es-ES" sz="1400" b="1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)</m:t>
                          </m:r>
                        </m:e>
                      </m:func>
                      <m:r>
                        <a:rPr kumimoji="0" lang="es-E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nary>
                </m:oMath>
              </a14:m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= </a:t>
              </a: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524000" y="45177075"/>
              <a:ext cx="5048250" cy="495299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∫</a:t>
              </a:r>
              <a:r>
                <a:rPr kumimoji="0" lang="es-E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_𝟎^𝒕▒〖𝑰 𝒅𝒕=(𝟒𝟎,𝟏𝟕𝟑)/((−𝟎,𝟔𝟖𝟕+𝟏)∗𝟔𝟎 𝒎𝒊𝒏/𝒉𝒐𝒓𝒂)  ∗𝒕 (〖𝐦𝐢𝐧)〗⁡〖𝒆𝒙𝒑(−𝟎,𝟔𝟖𝟕+𝟏)〗  〗</a:t>
              </a:r>
              <a:r>
                <a:rPr kumimoji="0" lang="en-US" sz="12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= </a:t>
              </a:r>
            </a:p>
          </xdr:txBody>
        </xdr:sp>
      </mc:Fallback>
    </mc:AlternateContent>
    <xdr:clientData/>
  </xdr:oneCellAnchor>
  <xdr:twoCellAnchor>
    <xdr:from>
      <xdr:col>0</xdr:col>
      <xdr:colOff>314325</xdr:colOff>
      <xdr:row>285</xdr:row>
      <xdr:rowOff>133350</xdr:rowOff>
    </xdr:from>
    <xdr:to>
      <xdr:col>6</xdr:col>
      <xdr:colOff>314325</xdr:colOff>
      <xdr:row>299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7</xdr:col>
      <xdr:colOff>161925</xdr:colOff>
      <xdr:row>114</xdr:row>
      <xdr:rowOff>142875</xdr:rowOff>
    </xdr:from>
    <xdr:ext cx="65" cy="172227"/>
    <xdr:sp macro="" textlink="">
      <xdr:nvSpPr>
        <xdr:cNvPr id="5" name="CuadroTexto 4"/>
        <xdr:cNvSpPr txBox="1"/>
      </xdr:nvSpPr>
      <xdr:spPr>
        <a:xfrm>
          <a:off x="5534025" y="2303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161925</xdr:colOff>
      <xdr:row>130</xdr:row>
      <xdr:rowOff>76200</xdr:rowOff>
    </xdr:from>
    <xdr:ext cx="1362075" cy="462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161925" y="24450675"/>
              <a:ext cx="1362075" cy="462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=0</m:t>
                        </m:r>
                      </m:sub>
                      <m:sup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=161,2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161925" y="24450675"/>
              <a:ext cx="1362075" cy="462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∑24_(𝑘=0)^𝑛▒〖</a:t>
              </a:r>
              <a:r>
                <a:rPr lang="es-ES" sz="1100" b="0" i="0">
                  <a:latin typeface="Cambria Math" panose="02040503050406030204" pitchFamily="18" charset="0"/>
                </a:rPr>
                <a:t>=161,2 𝑐𝑚/ℎ</a:t>
              </a:r>
              <a:r>
                <a:rPr lang="en-US" sz="1100" b="0" i="0">
                  <a:latin typeface="Cambria Math" panose="02040503050406030204" pitchFamily="18" charset="0"/>
                </a:rPr>
                <a:t>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161925</xdr:colOff>
      <xdr:row>306</xdr:row>
      <xdr:rowOff>76200</xdr:rowOff>
    </xdr:from>
    <xdr:ext cx="1362075" cy="4622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/>
            <xdr:cNvSpPr txBox="1"/>
          </xdr:nvSpPr>
          <xdr:spPr>
            <a:xfrm>
              <a:off x="161925" y="26165175"/>
              <a:ext cx="1362075" cy="462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𝑘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=0</m:t>
                        </m:r>
                      </m:sub>
                      <m:sup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=135,8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61925" y="26165175"/>
              <a:ext cx="1362075" cy="4622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∑24_(𝑘=0)^𝑛▒〖</a:t>
              </a:r>
              <a:r>
                <a:rPr lang="es-ES" sz="1100" b="0" i="0">
                  <a:latin typeface="Cambria Math" panose="02040503050406030204" pitchFamily="18" charset="0"/>
                </a:rPr>
                <a:t>=135,8 𝑐𝑚/ℎ</a:t>
              </a:r>
              <a:r>
                <a:rPr lang="en-US" sz="1100" b="0" i="0">
                  <a:latin typeface="Cambria Math" panose="02040503050406030204" pitchFamily="18" charset="0"/>
                </a:rPr>
                <a:t>〗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0</xdr:col>
      <xdr:colOff>304800</xdr:colOff>
      <xdr:row>285</xdr:row>
      <xdr:rowOff>104775</xdr:rowOff>
    </xdr:from>
    <xdr:to>
      <xdr:col>6</xdr:col>
      <xdr:colOff>304800</xdr:colOff>
      <xdr:row>299</xdr:row>
      <xdr:rowOff>47625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6"/>
  <sheetViews>
    <sheetView tabSelected="1" topLeftCell="A15" workbookViewId="0">
      <selection activeCell="J18" sqref="J18:K26"/>
    </sheetView>
  </sheetViews>
  <sheetFormatPr baseColWidth="10" defaultRowHeight="15" x14ac:dyDescent="0.25"/>
  <cols>
    <col min="7" max="8" width="12" bestFit="1" customWidth="1"/>
    <col min="10" max="11" width="11.7109375" bestFit="1" customWidth="1"/>
  </cols>
  <sheetData>
    <row r="1" spans="1:14" ht="20.25" x14ac:dyDescent="0.3">
      <c r="A1" s="4" t="s">
        <v>110</v>
      </c>
    </row>
    <row r="3" spans="1:14" ht="20.25" x14ac:dyDescent="0.3">
      <c r="A3" s="4" t="s">
        <v>0</v>
      </c>
      <c r="B3" s="1"/>
      <c r="C3" s="1"/>
      <c r="D3" s="1"/>
      <c r="E3" s="1"/>
      <c r="F3" s="1"/>
    </row>
    <row r="4" spans="1:14" ht="15.75" x14ac:dyDescent="0.25">
      <c r="A4" s="1"/>
      <c r="B4" s="1"/>
      <c r="C4" s="1"/>
      <c r="D4" s="1"/>
      <c r="E4" s="1"/>
      <c r="F4" s="1"/>
    </row>
    <row r="5" spans="1:14" ht="15.75" x14ac:dyDescent="0.25">
      <c r="A5" s="1" t="s">
        <v>1</v>
      </c>
      <c r="B5" s="1"/>
      <c r="C5" s="1"/>
      <c r="D5" s="1"/>
      <c r="E5" s="1"/>
      <c r="F5" s="1"/>
      <c r="M5" s="5"/>
    </row>
    <row r="6" spans="1:14" ht="15.75" x14ac:dyDescent="0.25">
      <c r="A6" s="1" t="s">
        <v>2</v>
      </c>
      <c r="B6" s="1"/>
      <c r="C6" s="1" t="s">
        <v>24</v>
      </c>
      <c r="D6" s="1"/>
      <c r="E6" s="1"/>
      <c r="F6" s="1"/>
      <c r="M6" s="5"/>
    </row>
    <row r="7" spans="1:14" ht="15.75" x14ac:dyDescent="0.25">
      <c r="A7" s="1" t="s">
        <v>25</v>
      </c>
      <c r="B7" s="1"/>
      <c r="C7" s="1"/>
      <c r="D7" s="1"/>
      <c r="E7" s="1"/>
      <c r="F7" s="1"/>
      <c r="M7" s="5"/>
    </row>
    <row r="8" spans="1:14" ht="15.75" x14ac:dyDescent="0.25">
      <c r="A8" s="1" t="s">
        <v>28</v>
      </c>
      <c r="B8" s="1"/>
      <c r="C8" s="1"/>
      <c r="D8" s="1"/>
      <c r="E8" s="1"/>
      <c r="F8" s="1"/>
      <c r="M8" s="5"/>
      <c r="N8" s="5"/>
    </row>
    <row r="9" spans="1:14" ht="15.75" x14ac:dyDescent="0.25">
      <c r="A9" s="1" t="s">
        <v>26</v>
      </c>
      <c r="B9" s="1"/>
      <c r="C9" s="1"/>
      <c r="D9" s="1"/>
      <c r="E9" s="1"/>
      <c r="F9" s="1"/>
      <c r="M9" s="5"/>
      <c r="N9" s="5"/>
    </row>
    <row r="10" spans="1:14" ht="15.75" x14ac:dyDescent="0.25">
      <c r="A10" s="1" t="s">
        <v>27</v>
      </c>
      <c r="B10" s="1"/>
      <c r="C10" s="1"/>
      <c r="D10" s="1"/>
      <c r="E10" s="1"/>
      <c r="F10" s="1"/>
      <c r="M10" s="5"/>
      <c r="N10" s="5"/>
    </row>
    <row r="11" spans="1:14" ht="15.75" x14ac:dyDescent="0.25">
      <c r="A11" s="1" t="s">
        <v>10</v>
      </c>
      <c r="B11" s="1"/>
      <c r="C11" s="1"/>
      <c r="D11" s="1"/>
      <c r="E11" s="1"/>
      <c r="F11" s="1"/>
      <c r="M11" s="5"/>
      <c r="N11" s="5"/>
    </row>
    <row r="12" spans="1:14" ht="15.75" x14ac:dyDescent="0.25">
      <c r="A12" s="1"/>
      <c r="B12" s="1"/>
      <c r="C12" s="1"/>
      <c r="D12" s="1"/>
      <c r="E12" s="1"/>
      <c r="F12" s="1"/>
      <c r="M12" s="5"/>
      <c r="N12" s="5"/>
    </row>
    <row r="13" spans="1:14" ht="15.75" x14ac:dyDescent="0.25">
      <c r="A13" s="3" t="s">
        <v>38</v>
      </c>
      <c r="B13" s="5"/>
      <c r="C13" s="1"/>
      <c r="D13" s="1"/>
      <c r="E13" s="1"/>
      <c r="F13" s="1"/>
      <c r="G13" s="1"/>
      <c r="H13" s="1"/>
      <c r="J13" s="14" t="s">
        <v>23</v>
      </c>
      <c r="K13" s="15"/>
      <c r="M13" s="5"/>
      <c r="N13" s="5"/>
    </row>
    <row r="14" spans="1:14" ht="15.75" x14ac:dyDescent="0.25">
      <c r="A14" s="3"/>
      <c r="B14" s="5"/>
      <c r="C14" s="1"/>
      <c r="D14" s="1"/>
      <c r="E14" s="1"/>
      <c r="F14" s="1"/>
      <c r="G14" s="1"/>
      <c r="H14" s="1"/>
      <c r="J14" s="14"/>
      <c r="K14" s="15"/>
      <c r="M14" s="5"/>
      <c r="N14" s="5"/>
    </row>
    <row r="15" spans="1:14" ht="15.75" x14ac:dyDescent="0.25">
      <c r="A15" s="5" t="s">
        <v>17</v>
      </c>
      <c r="B15" s="1" t="s">
        <v>22</v>
      </c>
      <c r="C15" s="5" t="s">
        <v>16</v>
      </c>
      <c r="D15" s="1" t="s">
        <v>18</v>
      </c>
      <c r="E15" s="5" t="s">
        <v>19</v>
      </c>
      <c r="F15" s="1" t="s">
        <v>20</v>
      </c>
      <c r="G15" s="5" t="s">
        <v>21</v>
      </c>
      <c r="H15" s="5" t="s">
        <v>21</v>
      </c>
      <c r="J15" s="16" t="s">
        <v>16</v>
      </c>
      <c r="K15" s="16" t="s">
        <v>21</v>
      </c>
      <c r="M15" s="5"/>
      <c r="N15" s="5"/>
    </row>
    <row r="16" spans="1:14" ht="15.75" x14ac:dyDescent="0.25">
      <c r="A16" s="5"/>
      <c r="B16" s="5" t="s">
        <v>7</v>
      </c>
      <c r="C16" s="5" t="s">
        <v>7</v>
      </c>
      <c r="D16" s="5" t="s">
        <v>6</v>
      </c>
      <c r="E16" s="5" t="s">
        <v>6</v>
      </c>
      <c r="F16" s="5" t="s">
        <v>6</v>
      </c>
      <c r="G16" s="5" t="s">
        <v>15</v>
      </c>
      <c r="H16" s="5" t="s">
        <v>9</v>
      </c>
      <c r="J16" s="16" t="s">
        <v>7</v>
      </c>
      <c r="K16" s="16" t="s">
        <v>9</v>
      </c>
      <c r="M16" s="5"/>
      <c r="N16" s="5"/>
    </row>
    <row r="17" spans="1:12" ht="15.75" x14ac:dyDescent="0.25">
      <c r="A17" s="8">
        <v>0.41666666666666669</v>
      </c>
      <c r="B17" s="5"/>
      <c r="C17" s="5"/>
      <c r="D17" s="5"/>
      <c r="E17" s="5"/>
      <c r="F17" s="5"/>
      <c r="G17" s="5"/>
      <c r="H17" s="5"/>
      <c r="J17" s="16"/>
      <c r="K17" s="16"/>
    </row>
    <row r="18" spans="1:12" ht="15.75" x14ac:dyDescent="0.25">
      <c r="A18" s="8">
        <v>0.41736111111111113</v>
      </c>
      <c r="B18" s="5">
        <v>1</v>
      </c>
      <c r="C18" s="5">
        <v>1</v>
      </c>
      <c r="D18" s="10">
        <v>15</v>
      </c>
      <c r="E18" s="10">
        <v>14.4</v>
      </c>
      <c r="F18" s="10">
        <f>+D18-E18</f>
        <v>0.59999999999999964</v>
      </c>
      <c r="G18" s="11">
        <f>+F18/B18</f>
        <v>0.59999999999999964</v>
      </c>
      <c r="H18" s="10">
        <f>+G18*60</f>
        <v>35.999999999999979</v>
      </c>
      <c r="J18" s="16">
        <v>1</v>
      </c>
      <c r="K18" s="16">
        <v>35.999999999999979</v>
      </c>
    </row>
    <row r="19" spans="1:12" ht="15.75" x14ac:dyDescent="0.25">
      <c r="A19" s="8">
        <v>0.41805555555555557</v>
      </c>
      <c r="B19" s="5">
        <v>1</v>
      </c>
      <c r="C19" s="5">
        <f>+C18+B19</f>
        <v>2</v>
      </c>
      <c r="D19" s="10">
        <f>+E18</f>
        <v>14.4</v>
      </c>
      <c r="E19" s="10">
        <v>13.9</v>
      </c>
      <c r="F19" s="10">
        <f t="shared" ref="F19:F26" si="0">+D19-E19</f>
        <v>0.5</v>
      </c>
      <c r="G19" s="11">
        <f t="shared" ref="G19:G26" si="1">+F19/B19</f>
        <v>0.5</v>
      </c>
      <c r="H19" s="10">
        <f t="shared" ref="H19:H26" si="2">+G19*60</f>
        <v>30</v>
      </c>
      <c r="J19" s="16">
        <v>2</v>
      </c>
      <c r="K19" s="16">
        <v>30</v>
      </c>
    </row>
    <row r="20" spans="1:12" ht="15.75" x14ac:dyDescent="0.25">
      <c r="A20" s="8">
        <v>0.42152777777777778</v>
      </c>
      <c r="B20" s="5">
        <v>5</v>
      </c>
      <c r="C20" s="5">
        <f t="shared" ref="C20:C26" si="3">+C19+B20</f>
        <v>7</v>
      </c>
      <c r="D20" s="10">
        <f t="shared" ref="D20:D26" si="4">+E19</f>
        <v>13.9</v>
      </c>
      <c r="E20" s="10">
        <v>13</v>
      </c>
      <c r="F20" s="10">
        <f t="shared" si="0"/>
        <v>0.90000000000000036</v>
      </c>
      <c r="G20" s="11">
        <f t="shared" si="1"/>
        <v>0.18000000000000008</v>
      </c>
      <c r="H20" s="10">
        <f t="shared" si="2"/>
        <v>10.800000000000004</v>
      </c>
      <c r="J20" s="16">
        <v>7</v>
      </c>
      <c r="K20" s="16">
        <v>10.800000000000004</v>
      </c>
    </row>
    <row r="21" spans="1:12" ht="15.75" x14ac:dyDescent="0.25">
      <c r="A21" s="8">
        <v>0.42499999999999999</v>
      </c>
      <c r="B21" s="5">
        <v>5</v>
      </c>
      <c r="C21" s="5">
        <f t="shared" si="3"/>
        <v>12</v>
      </c>
      <c r="D21" s="10">
        <f t="shared" si="4"/>
        <v>13</v>
      </c>
      <c r="E21" s="10">
        <v>12.2</v>
      </c>
      <c r="F21" s="10">
        <f t="shared" si="0"/>
        <v>0.80000000000000071</v>
      </c>
      <c r="G21" s="11">
        <f t="shared" si="1"/>
        <v>0.16000000000000014</v>
      </c>
      <c r="H21" s="10">
        <f t="shared" si="2"/>
        <v>9.6000000000000085</v>
      </c>
      <c r="J21" s="16">
        <v>12</v>
      </c>
      <c r="K21" s="16">
        <v>9.6000000000000085</v>
      </c>
    </row>
    <row r="22" spans="1:12" ht="15.75" x14ac:dyDescent="0.25">
      <c r="A22" s="8">
        <v>0.43194444444444446</v>
      </c>
      <c r="B22" s="5">
        <v>10</v>
      </c>
      <c r="C22" s="5">
        <f t="shared" si="3"/>
        <v>22</v>
      </c>
      <c r="D22" s="10">
        <f t="shared" si="4"/>
        <v>12.2</v>
      </c>
      <c r="E22" s="10">
        <v>11.6</v>
      </c>
      <c r="F22" s="10">
        <f t="shared" si="0"/>
        <v>0.59999999999999964</v>
      </c>
      <c r="G22" s="11">
        <f t="shared" si="1"/>
        <v>5.9999999999999963E-2</v>
      </c>
      <c r="H22" s="10">
        <f t="shared" si="2"/>
        <v>3.5999999999999979</v>
      </c>
      <c r="J22" s="16">
        <v>22</v>
      </c>
      <c r="K22" s="16">
        <v>3.5999999999999979</v>
      </c>
    </row>
    <row r="23" spans="1:12" ht="15.75" x14ac:dyDescent="0.25">
      <c r="A23" s="8">
        <v>0.43888888888888888</v>
      </c>
      <c r="B23" s="5">
        <v>10</v>
      </c>
      <c r="C23" s="5">
        <f>+C22+B23</f>
        <v>32</v>
      </c>
      <c r="D23" s="10">
        <f t="shared" si="4"/>
        <v>11.6</v>
      </c>
      <c r="E23" s="10">
        <v>10.9</v>
      </c>
      <c r="F23" s="10">
        <f t="shared" si="0"/>
        <v>0.69999999999999929</v>
      </c>
      <c r="G23" s="11">
        <f t="shared" si="1"/>
        <v>6.9999999999999923E-2</v>
      </c>
      <c r="H23" s="10">
        <f t="shared" si="2"/>
        <v>4.1999999999999957</v>
      </c>
      <c r="J23" s="16">
        <v>32</v>
      </c>
      <c r="K23" s="16">
        <v>4.1999999999999957</v>
      </c>
    </row>
    <row r="24" spans="1:12" ht="15.75" x14ac:dyDescent="0.25">
      <c r="A24" s="8">
        <v>0.45277777777777778</v>
      </c>
      <c r="B24" s="5">
        <v>20</v>
      </c>
      <c r="C24" s="5">
        <f t="shared" si="3"/>
        <v>52</v>
      </c>
      <c r="D24" s="10">
        <f t="shared" si="4"/>
        <v>10.9</v>
      </c>
      <c r="E24" s="10">
        <v>10</v>
      </c>
      <c r="F24" s="10">
        <f t="shared" si="0"/>
        <v>0.90000000000000036</v>
      </c>
      <c r="G24" s="11">
        <f t="shared" si="1"/>
        <v>4.5000000000000019E-2</v>
      </c>
      <c r="H24" s="10">
        <f t="shared" si="2"/>
        <v>2.7000000000000011</v>
      </c>
      <c r="J24" s="16">
        <v>52</v>
      </c>
      <c r="K24" s="16">
        <v>2.7000000000000011</v>
      </c>
    </row>
    <row r="25" spans="1:12" ht="15.75" x14ac:dyDescent="0.25">
      <c r="A25" s="8">
        <v>0.46666666666666662</v>
      </c>
      <c r="B25" s="5">
        <v>20</v>
      </c>
      <c r="C25" s="5">
        <f t="shared" si="3"/>
        <v>72</v>
      </c>
      <c r="D25" s="10">
        <f t="shared" si="4"/>
        <v>10</v>
      </c>
      <c r="E25" s="10">
        <v>9</v>
      </c>
      <c r="F25" s="10">
        <f t="shared" si="0"/>
        <v>1</v>
      </c>
      <c r="G25" s="11">
        <f t="shared" si="1"/>
        <v>0.05</v>
      </c>
      <c r="H25" s="10">
        <f t="shared" si="2"/>
        <v>3</v>
      </c>
      <c r="J25" s="16">
        <v>72</v>
      </c>
      <c r="K25" s="16">
        <v>3</v>
      </c>
    </row>
    <row r="26" spans="1:12" ht="15.75" x14ac:dyDescent="0.25">
      <c r="A26" s="8">
        <v>0.48749999999999999</v>
      </c>
      <c r="B26" s="5">
        <v>30</v>
      </c>
      <c r="C26" s="5">
        <f t="shared" si="3"/>
        <v>102</v>
      </c>
      <c r="D26" s="10">
        <f t="shared" si="4"/>
        <v>9</v>
      </c>
      <c r="E26" s="10">
        <v>7.5</v>
      </c>
      <c r="F26" s="10">
        <f t="shared" si="0"/>
        <v>1.5</v>
      </c>
      <c r="G26" s="11">
        <f t="shared" si="1"/>
        <v>0.05</v>
      </c>
      <c r="H26" s="10">
        <f t="shared" si="2"/>
        <v>3</v>
      </c>
      <c r="J26" s="16">
        <v>102</v>
      </c>
      <c r="K26" s="16">
        <v>3</v>
      </c>
    </row>
    <row r="27" spans="1:12" ht="15.75" x14ac:dyDescent="0.25">
      <c r="A27" s="1"/>
      <c r="B27" s="1"/>
      <c r="C27" s="1"/>
      <c r="D27" s="1"/>
      <c r="E27" s="1"/>
      <c r="F27" s="10">
        <f>SUM(F18:F26)</f>
        <v>7.5</v>
      </c>
      <c r="G27" s="1"/>
      <c r="K27" s="13">
        <f>AVERAGE(K18:K26)</f>
        <v>11.433333333333332</v>
      </c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</row>
    <row r="29" spans="1:12" ht="15.75" x14ac:dyDescent="0.25">
      <c r="A29" s="1"/>
      <c r="B29" s="1"/>
      <c r="C29" s="1"/>
      <c r="D29" s="1"/>
      <c r="E29" s="1"/>
      <c r="F29" s="1"/>
      <c r="G29" s="12" t="s">
        <v>29</v>
      </c>
    </row>
    <row r="30" spans="1:12" ht="15.75" x14ac:dyDescent="0.25">
      <c r="A30" s="1"/>
      <c r="B30" s="1"/>
      <c r="C30" s="1"/>
      <c r="D30" s="1"/>
      <c r="E30" s="1"/>
      <c r="F30" s="1"/>
      <c r="G30" s="1" t="s">
        <v>30</v>
      </c>
    </row>
    <row r="31" spans="1:12" ht="15.75" x14ac:dyDescent="0.25">
      <c r="A31" s="1"/>
      <c r="B31" s="1"/>
      <c r="C31" s="1"/>
      <c r="D31" s="1"/>
      <c r="E31" s="1"/>
      <c r="F31" s="1"/>
      <c r="G31" s="1" t="s">
        <v>31</v>
      </c>
    </row>
    <row r="32" spans="1:12" ht="15.75" x14ac:dyDescent="0.25">
      <c r="A32" s="1"/>
      <c r="B32" s="1"/>
      <c r="C32" s="1"/>
      <c r="D32" s="1"/>
      <c r="E32" s="1"/>
      <c r="F32" s="1"/>
      <c r="G32" s="1"/>
    </row>
    <row r="33" spans="1:8" ht="15.75" x14ac:dyDescent="0.25">
      <c r="A33" s="1"/>
      <c r="B33" s="1"/>
      <c r="C33" s="1"/>
      <c r="D33" s="1"/>
      <c r="E33" s="1"/>
      <c r="F33" s="1"/>
      <c r="G33" s="3" t="s">
        <v>32</v>
      </c>
    </row>
    <row r="34" spans="1:8" ht="15.75" x14ac:dyDescent="0.25">
      <c r="A34" s="1"/>
      <c r="B34" s="1"/>
      <c r="C34" s="1"/>
      <c r="D34" s="1"/>
      <c r="E34" s="1"/>
      <c r="F34" s="1"/>
      <c r="G34" s="1"/>
    </row>
    <row r="35" spans="1:8" ht="15.75" x14ac:dyDescent="0.25">
      <c r="A35" s="1"/>
      <c r="B35" s="1"/>
      <c r="C35" s="1"/>
      <c r="D35" s="1"/>
      <c r="E35" s="1"/>
      <c r="F35" s="1"/>
      <c r="G35" s="1"/>
    </row>
    <row r="36" spans="1:8" ht="15.75" x14ac:dyDescent="0.25">
      <c r="A36" s="1"/>
      <c r="B36" s="1"/>
      <c r="C36" s="1"/>
      <c r="D36" s="1"/>
      <c r="E36" s="1"/>
      <c r="F36" s="1"/>
      <c r="G36" s="1"/>
    </row>
    <row r="37" spans="1:8" ht="15.75" x14ac:dyDescent="0.25">
      <c r="A37" s="1"/>
      <c r="B37" s="1"/>
      <c r="C37" s="1"/>
      <c r="D37" s="1"/>
      <c r="E37" s="1"/>
      <c r="F37" s="1"/>
      <c r="G37" s="1"/>
    </row>
    <row r="38" spans="1:8" ht="15.75" x14ac:dyDescent="0.25">
      <c r="A38" s="1"/>
      <c r="B38" s="1"/>
      <c r="C38" s="1"/>
      <c r="D38" s="1"/>
      <c r="E38" s="1"/>
      <c r="F38" s="1"/>
      <c r="G38" s="1"/>
    </row>
    <row r="39" spans="1:8" ht="15.75" x14ac:dyDescent="0.25">
      <c r="A39" s="1"/>
      <c r="B39" s="1"/>
      <c r="C39" s="1"/>
      <c r="D39" s="1"/>
      <c r="E39" s="1"/>
      <c r="F39" s="1"/>
      <c r="G39" s="1"/>
    </row>
    <row r="40" spans="1:8" ht="15.75" x14ac:dyDescent="0.25">
      <c r="A40" s="1"/>
      <c r="B40" s="1"/>
      <c r="C40" s="1"/>
      <c r="D40" s="1"/>
      <c r="E40" s="1"/>
      <c r="F40" s="1"/>
      <c r="G40" s="1"/>
    </row>
    <row r="41" spans="1:8" ht="15.75" x14ac:dyDescent="0.25">
      <c r="A41" s="1"/>
      <c r="B41" s="1"/>
      <c r="C41" s="1"/>
      <c r="D41" s="1"/>
      <c r="E41" s="1"/>
      <c r="F41" s="1"/>
      <c r="G41" s="1"/>
    </row>
    <row r="42" spans="1:8" ht="15.75" x14ac:dyDescent="0.25">
      <c r="A42" s="1"/>
      <c r="B42" s="1"/>
      <c r="C42" s="1"/>
      <c r="D42" s="1"/>
      <c r="E42" s="1"/>
      <c r="F42" s="1"/>
      <c r="G42" s="1"/>
    </row>
    <row r="43" spans="1:8" ht="15.75" x14ac:dyDescent="0.25">
      <c r="A43" s="1"/>
      <c r="B43" s="1"/>
      <c r="C43" s="1"/>
      <c r="D43" s="1"/>
      <c r="E43" s="1"/>
      <c r="F43" s="1"/>
      <c r="G43" s="1"/>
    </row>
    <row r="44" spans="1:8" ht="15.75" x14ac:dyDescent="0.25">
      <c r="A44" s="1" t="s">
        <v>33</v>
      </c>
      <c r="B44" s="1"/>
      <c r="C44" s="1"/>
      <c r="D44" s="1"/>
      <c r="E44" s="1"/>
      <c r="F44" s="1"/>
    </row>
    <row r="45" spans="1:8" ht="15.75" x14ac:dyDescent="0.25">
      <c r="A45" s="1" t="s">
        <v>34</v>
      </c>
      <c r="B45" s="1"/>
      <c r="C45" s="1"/>
      <c r="D45" s="1"/>
      <c r="E45" s="1"/>
      <c r="F45" s="1"/>
    </row>
    <row r="46" spans="1:8" ht="15.75" x14ac:dyDescent="0.25">
      <c r="A46" s="1"/>
      <c r="B46" s="1"/>
      <c r="C46" s="1"/>
      <c r="D46" s="1"/>
      <c r="E46" s="1"/>
      <c r="F46" s="1"/>
    </row>
    <row r="47" spans="1:8" ht="15.75" x14ac:dyDescent="0.25">
      <c r="A47" s="1"/>
      <c r="B47" s="1"/>
      <c r="C47" s="1"/>
      <c r="D47" s="1"/>
      <c r="E47" s="1"/>
      <c r="F47" s="1"/>
      <c r="H47" s="1" t="s">
        <v>35</v>
      </c>
    </row>
    <row r="48" spans="1:8" ht="15.75" x14ac:dyDescent="0.25">
      <c r="A48" s="1"/>
      <c r="B48" s="1"/>
      <c r="C48" s="1"/>
      <c r="D48" s="1"/>
      <c r="E48" s="1"/>
      <c r="F48" s="1"/>
    </row>
    <row r="49" spans="1:15" ht="15.75" x14ac:dyDescent="0.25">
      <c r="A49" s="1"/>
      <c r="B49" s="1"/>
      <c r="C49" s="1"/>
      <c r="D49" s="1"/>
      <c r="E49" s="1"/>
      <c r="F49" s="1"/>
    </row>
    <row r="50" spans="1:15" ht="15.75" x14ac:dyDescent="0.25">
      <c r="A50" s="2" t="s">
        <v>36</v>
      </c>
      <c r="B50" s="3"/>
      <c r="C50" s="3"/>
      <c r="D50" s="1"/>
      <c r="E50" s="1">
        <v>102</v>
      </c>
      <c r="F50" s="1">
        <f>POWER(E50,-0.614)</f>
        <v>5.8441249737749147E-2</v>
      </c>
      <c r="G50" s="30">
        <f>+F50*60</f>
        <v>3.506474984264949</v>
      </c>
      <c r="H50" t="s">
        <v>9</v>
      </c>
      <c r="I50">
        <f>+-0.614+1</f>
        <v>0.38600000000000001</v>
      </c>
      <c r="J50">
        <f>+I50*60</f>
        <v>23.16</v>
      </c>
      <c r="K50">
        <f>37.45/J50</f>
        <v>1.6170120898100173</v>
      </c>
    </row>
    <row r="51" spans="1:15" ht="15.75" x14ac:dyDescent="0.25">
      <c r="A51" s="1"/>
      <c r="B51" s="1"/>
      <c r="C51" s="1"/>
      <c r="D51" s="1"/>
      <c r="E51" s="1"/>
      <c r="F51" s="1"/>
    </row>
    <row r="52" spans="1:15" ht="15.75" x14ac:dyDescent="0.25">
      <c r="A52" s="1" t="s">
        <v>37</v>
      </c>
      <c r="B52" s="1"/>
      <c r="C52" s="1"/>
    </row>
    <row r="54" spans="1:15" ht="15.75" thickBot="1" x14ac:dyDescent="0.3"/>
    <row r="55" spans="1:15" ht="15.75" x14ac:dyDescent="0.25">
      <c r="H55" s="3" t="s">
        <v>45</v>
      </c>
      <c r="I55" s="1"/>
      <c r="J55" s="1"/>
      <c r="K55" s="1"/>
      <c r="L55" s="1"/>
      <c r="M55" s="35" t="s">
        <v>76</v>
      </c>
      <c r="N55" s="36"/>
    </row>
    <row r="56" spans="1:15" ht="15.75" x14ac:dyDescent="0.25">
      <c r="H56" s="5" t="s">
        <v>5</v>
      </c>
      <c r="I56" s="5" t="s">
        <v>12</v>
      </c>
      <c r="J56" s="5" t="s">
        <v>13</v>
      </c>
      <c r="K56" s="5" t="s">
        <v>14</v>
      </c>
      <c r="L56" s="5" t="s">
        <v>8</v>
      </c>
      <c r="M56" s="37" t="s">
        <v>12</v>
      </c>
      <c r="N56" s="38" t="s">
        <v>8</v>
      </c>
      <c r="O56" s="7"/>
    </row>
    <row r="57" spans="1:15" ht="15.75" x14ac:dyDescent="0.25">
      <c r="H57" s="1">
        <v>37.450000000000003</v>
      </c>
      <c r="I57" s="1">
        <v>1</v>
      </c>
      <c r="J57" s="1">
        <v>-0.61399999999999999</v>
      </c>
      <c r="K57" s="1">
        <f>POWER(I57,J57)</f>
        <v>1</v>
      </c>
      <c r="L57" s="10">
        <f>+H57*K57</f>
        <v>37.450000000000003</v>
      </c>
      <c r="M57" s="39">
        <v>1</v>
      </c>
      <c r="N57" s="40">
        <v>37.450000000000003</v>
      </c>
      <c r="O57" s="6"/>
    </row>
    <row r="58" spans="1:15" ht="15.75" x14ac:dyDescent="0.25">
      <c r="H58" s="1">
        <v>37.450000000000003</v>
      </c>
      <c r="I58" s="1">
        <v>2</v>
      </c>
      <c r="J58" s="1">
        <v>-0.61399999999999999</v>
      </c>
      <c r="K58" s="1">
        <f t="shared" ref="K58:K77" si="5">POWER(I58,J58)</f>
        <v>0.65338262694658666</v>
      </c>
      <c r="L58" s="10">
        <f t="shared" ref="L58:L77" si="6">+H58*K58</f>
        <v>24.469179379149672</v>
      </c>
      <c r="M58" s="39">
        <v>2</v>
      </c>
      <c r="N58" s="40">
        <v>24.469179379149672</v>
      </c>
      <c r="O58" s="6"/>
    </row>
    <row r="59" spans="1:15" ht="15.75" x14ac:dyDescent="0.25">
      <c r="H59" s="1">
        <v>37.450000000000003</v>
      </c>
      <c r="I59" s="1">
        <v>3</v>
      </c>
      <c r="J59" s="1">
        <v>-0.61399999999999999</v>
      </c>
      <c r="K59" s="1">
        <f t="shared" si="5"/>
        <v>0.50938663922172878</v>
      </c>
      <c r="L59" s="10">
        <f t="shared" si="6"/>
        <v>19.076529638853746</v>
      </c>
      <c r="M59" s="39">
        <v>3</v>
      </c>
      <c r="N59" s="40">
        <v>19.076529638853746</v>
      </c>
      <c r="O59" s="6"/>
    </row>
    <row r="60" spans="1:15" ht="15.75" x14ac:dyDescent="0.25">
      <c r="H60" s="1">
        <v>37.450000000000003</v>
      </c>
      <c r="I60" s="1">
        <v>5</v>
      </c>
      <c r="J60" s="1">
        <v>-0.61399999999999999</v>
      </c>
      <c r="K60" s="1">
        <f t="shared" si="5"/>
        <v>0.37224803794372169</v>
      </c>
      <c r="L60" s="10">
        <f t="shared" si="6"/>
        <v>13.940689020992378</v>
      </c>
      <c r="M60" s="39">
        <v>5</v>
      </c>
      <c r="N60" s="40">
        <v>13.940689020992378</v>
      </c>
      <c r="O60" s="6"/>
    </row>
    <row r="61" spans="1:15" ht="15.75" x14ac:dyDescent="0.25">
      <c r="G61" s="7"/>
      <c r="H61" s="1">
        <v>37.450000000000003</v>
      </c>
      <c r="I61" s="1">
        <v>7</v>
      </c>
      <c r="J61" s="1">
        <v>-0.61399999999999999</v>
      </c>
      <c r="K61" s="1">
        <f t="shared" si="5"/>
        <v>0.30276788246563052</v>
      </c>
      <c r="L61" s="10">
        <f t="shared" si="6"/>
        <v>11.338657198337865</v>
      </c>
      <c r="M61" s="39">
        <v>7</v>
      </c>
      <c r="N61" s="40">
        <v>11.338657198337865</v>
      </c>
      <c r="O61" s="6"/>
    </row>
    <row r="62" spans="1:15" ht="15.75" x14ac:dyDescent="0.25">
      <c r="H62" s="1">
        <v>37.450000000000003</v>
      </c>
      <c r="I62" s="1">
        <v>9</v>
      </c>
      <c r="J62" s="1">
        <v>-0.61399999999999999</v>
      </c>
      <c r="K62" s="1">
        <f t="shared" si="5"/>
        <v>0.25947474821760769</v>
      </c>
      <c r="L62" s="10">
        <f t="shared" si="6"/>
        <v>9.7173293207494087</v>
      </c>
      <c r="M62" s="39">
        <v>9</v>
      </c>
      <c r="N62" s="40">
        <v>9.7173293207494087</v>
      </c>
      <c r="O62" s="6"/>
    </row>
    <row r="63" spans="1:15" ht="15.75" x14ac:dyDescent="0.25">
      <c r="H63" s="1">
        <v>37.450000000000003</v>
      </c>
      <c r="I63" s="1">
        <v>14</v>
      </c>
      <c r="J63" s="1">
        <v>-0.61399999999999999</v>
      </c>
      <c r="K63" s="1">
        <f t="shared" si="5"/>
        <v>0.19782327440044914</v>
      </c>
      <c r="L63" s="10">
        <f t="shared" si="6"/>
        <v>7.4084816262968207</v>
      </c>
      <c r="M63" s="39">
        <v>14</v>
      </c>
      <c r="N63" s="40">
        <v>7.4084816262968207</v>
      </c>
      <c r="O63" s="6"/>
    </row>
    <row r="64" spans="1:15" ht="15.75" x14ac:dyDescent="0.25">
      <c r="H64" s="1">
        <v>37.450000000000003</v>
      </c>
      <c r="I64" s="1">
        <v>19</v>
      </c>
      <c r="J64" s="1">
        <v>-0.61399999999999999</v>
      </c>
      <c r="K64" s="1">
        <f t="shared" si="5"/>
        <v>0.16400054414466081</v>
      </c>
      <c r="L64" s="10">
        <f t="shared" si="6"/>
        <v>6.141820378217548</v>
      </c>
      <c r="M64" s="39">
        <v>19</v>
      </c>
      <c r="N64" s="40">
        <v>6.141820378217548</v>
      </c>
      <c r="O64" s="6"/>
    </row>
    <row r="65" spans="1:16" ht="15.75" x14ac:dyDescent="0.25">
      <c r="H65" s="1">
        <v>37.450000000000003</v>
      </c>
      <c r="I65" s="1">
        <v>24</v>
      </c>
      <c r="J65" s="1">
        <v>-0.61399999999999999</v>
      </c>
      <c r="K65" s="1">
        <f t="shared" si="5"/>
        <v>0.14208567591166066</v>
      </c>
      <c r="L65" s="10">
        <f t="shared" si="6"/>
        <v>5.3211085628916921</v>
      </c>
      <c r="M65" s="39">
        <v>24</v>
      </c>
      <c r="N65" s="40">
        <v>5.3211085628916921</v>
      </c>
      <c r="O65" s="6"/>
    </row>
    <row r="66" spans="1:16" ht="15.75" x14ac:dyDescent="0.25">
      <c r="H66" s="1">
        <v>37.450000000000003</v>
      </c>
      <c r="I66" s="1">
        <v>34</v>
      </c>
      <c r="J66" s="1">
        <v>-0.61399999999999999</v>
      </c>
      <c r="K66" s="1">
        <f t="shared" si="5"/>
        <v>0.11472866627801458</v>
      </c>
      <c r="L66" s="10">
        <f t="shared" si="6"/>
        <v>4.296588552111646</v>
      </c>
      <c r="M66" s="39">
        <v>34</v>
      </c>
      <c r="N66" s="40">
        <v>4.296588552111646</v>
      </c>
      <c r="O66" s="6"/>
    </row>
    <row r="67" spans="1:16" ht="15.75" x14ac:dyDescent="0.25">
      <c r="H67" s="1">
        <v>37.450000000000003</v>
      </c>
      <c r="I67" s="1">
        <v>44</v>
      </c>
      <c r="J67" s="1">
        <v>-0.61399999999999999</v>
      </c>
      <c r="K67" s="1">
        <f t="shared" si="5"/>
        <v>9.7930970101698198E-2</v>
      </c>
      <c r="L67" s="10">
        <f t="shared" si="6"/>
        <v>3.6675148303085976</v>
      </c>
      <c r="M67" s="39">
        <v>44</v>
      </c>
      <c r="N67" s="40">
        <v>3.6675148303085976</v>
      </c>
      <c r="O67" s="6"/>
    </row>
    <row r="68" spans="1:16" ht="15.75" x14ac:dyDescent="0.25">
      <c r="H68" s="1">
        <v>37.450000000000003</v>
      </c>
      <c r="I68" s="1">
        <v>54</v>
      </c>
      <c r="J68" s="1">
        <v>-0.61399999999999999</v>
      </c>
      <c r="K68" s="1">
        <f t="shared" si="5"/>
        <v>8.6359522322144971E-2</v>
      </c>
      <c r="L68" s="10">
        <f t="shared" si="6"/>
        <v>3.2341641109643295</v>
      </c>
      <c r="M68" s="39">
        <v>54</v>
      </c>
      <c r="N68" s="40">
        <v>3.2341641109643295</v>
      </c>
      <c r="O68" s="6"/>
    </row>
    <row r="69" spans="1:16" ht="15.75" x14ac:dyDescent="0.25">
      <c r="H69" s="1">
        <v>37.450000000000003</v>
      </c>
      <c r="I69" s="1">
        <v>74</v>
      </c>
      <c r="J69" s="1">
        <v>-0.61399999999999999</v>
      </c>
      <c r="K69" s="1">
        <f t="shared" si="5"/>
        <v>7.1169141014854567E-2</v>
      </c>
      <c r="L69" s="10">
        <f t="shared" si="6"/>
        <v>2.6652843310063039</v>
      </c>
      <c r="M69" s="39">
        <v>74</v>
      </c>
      <c r="N69" s="40">
        <v>2.6652843310063039</v>
      </c>
      <c r="O69" s="6"/>
    </row>
    <row r="70" spans="1:16" ht="15.75" x14ac:dyDescent="0.25">
      <c r="H70" s="1">
        <v>37.450000000000003</v>
      </c>
      <c r="I70" s="1">
        <v>94</v>
      </c>
      <c r="J70" s="1">
        <v>-0.61399999999999999</v>
      </c>
      <c r="K70" s="1">
        <f t="shared" si="5"/>
        <v>6.1446832128688178E-2</v>
      </c>
      <c r="L70" s="10">
        <f t="shared" si="6"/>
        <v>2.3011838632193724</v>
      </c>
      <c r="M70" s="39">
        <v>94</v>
      </c>
      <c r="N70" s="40">
        <v>2.3011838632193724</v>
      </c>
      <c r="O70" s="6"/>
    </row>
    <row r="71" spans="1:16" ht="15.75" x14ac:dyDescent="0.25">
      <c r="A71" s="1" t="s">
        <v>39</v>
      </c>
      <c r="H71" s="1">
        <v>37.450000000000003</v>
      </c>
      <c r="I71" s="1">
        <v>114</v>
      </c>
      <c r="J71" s="1">
        <v>-0.61399999999999999</v>
      </c>
      <c r="K71" s="1">
        <f t="shared" si="5"/>
        <v>5.4583379501064157E-2</v>
      </c>
      <c r="L71" s="10">
        <f t="shared" si="6"/>
        <v>2.0441475623148526</v>
      </c>
      <c r="M71" s="39">
        <v>114</v>
      </c>
      <c r="N71" s="40">
        <v>2.0441475623148526</v>
      </c>
      <c r="O71" s="6"/>
    </row>
    <row r="72" spans="1:16" ht="15.75" x14ac:dyDescent="0.25">
      <c r="H72" s="1">
        <v>37.450000000000003</v>
      </c>
      <c r="I72" s="1">
        <v>144</v>
      </c>
      <c r="J72" s="1">
        <v>-0.61399999999999999</v>
      </c>
      <c r="K72" s="1">
        <f t="shared" si="5"/>
        <v>4.7289577058417812E-2</v>
      </c>
      <c r="L72" s="10">
        <f t="shared" si="6"/>
        <v>1.7709946608377471</v>
      </c>
      <c r="M72" s="39">
        <v>144</v>
      </c>
      <c r="N72" s="40">
        <v>1.7709946608377471</v>
      </c>
      <c r="O72" s="6"/>
    </row>
    <row r="73" spans="1:16" ht="15.75" x14ac:dyDescent="0.25">
      <c r="H73" s="1">
        <v>37.450000000000003</v>
      </c>
      <c r="I73" s="1">
        <v>174</v>
      </c>
      <c r="J73" s="1">
        <v>-0.61399999999999999</v>
      </c>
      <c r="K73" s="1">
        <f t="shared" si="5"/>
        <v>4.210200335831709E-2</v>
      </c>
      <c r="L73" s="10">
        <f t="shared" si="6"/>
        <v>1.5767200257689751</v>
      </c>
      <c r="M73" s="39">
        <v>174</v>
      </c>
      <c r="N73" s="40">
        <v>1.5767200257689751</v>
      </c>
      <c r="O73" s="6"/>
    </row>
    <row r="74" spans="1:16" ht="15.75" x14ac:dyDescent="0.25">
      <c r="H74" s="1">
        <v>37.450000000000003</v>
      </c>
      <c r="I74" s="1">
        <v>204</v>
      </c>
      <c r="J74" s="1">
        <v>-0.61399999999999999</v>
      </c>
      <c r="K74" s="1">
        <f t="shared" si="5"/>
        <v>3.8184497275692071E-2</v>
      </c>
      <c r="L74" s="10">
        <f t="shared" si="6"/>
        <v>1.4300094229746683</v>
      </c>
      <c r="M74" s="39">
        <v>204</v>
      </c>
      <c r="N74" s="40">
        <v>1.4300094229746683</v>
      </c>
      <c r="O74" s="6"/>
    </row>
    <row r="75" spans="1:16" ht="15.75" x14ac:dyDescent="0.25">
      <c r="H75" s="1">
        <v>37.450000000000003</v>
      </c>
      <c r="I75" s="1">
        <v>254</v>
      </c>
      <c r="J75" s="1">
        <v>-0.61399999999999999</v>
      </c>
      <c r="K75" s="1">
        <f t="shared" si="5"/>
        <v>3.3375831792539466E-2</v>
      </c>
      <c r="L75" s="10">
        <f t="shared" si="6"/>
        <v>1.249924900630603</v>
      </c>
      <c r="M75" s="39">
        <v>254</v>
      </c>
      <c r="N75" s="40">
        <v>1.249924900630603</v>
      </c>
      <c r="O75" s="6"/>
    </row>
    <row r="76" spans="1:16" ht="15.75" x14ac:dyDescent="0.25">
      <c r="H76" s="1">
        <v>37.450000000000003</v>
      </c>
      <c r="I76" s="1">
        <v>304</v>
      </c>
      <c r="J76" s="1">
        <v>-0.61399999999999999</v>
      </c>
      <c r="K76" s="1">
        <f t="shared" si="5"/>
        <v>2.9889291436742221E-2</v>
      </c>
      <c r="L76" s="10">
        <f t="shared" si="6"/>
        <v>1.1193539643059962</v>
      </c>
      <c r="M76" s="39">
        <v>304</v>
      </c>
      <c r="N76" s="40">
        <v>1.1193539643059962</v>
      </c>
      <c r="O76" s="6"/>
    </row>
    <row r="77" spans="1:16" ht="16.5" thickBot="1" x14ac:dyDescent="0.3">
      <c r="H77" s="1">
        <v>37.450000000000003</v>
      </c>
      <c r="I77" s="1">
        <v>354</v>
      </c>
      <c r="J77" s="1">
        <v>-0.61399999999999999</v>
      </c>
      <c r="K77" s="1">
        <f t="shared" si="5"/>
        <v>2.7221496517653897E-2</v>
      </c>
      <c r="L77" s="10">
        <f t="shared" si="6"/>
        <v>1.0194450445861385</v>
      </c>
      <c r="M77" s="41">
        <v>354</v>
      </c>
      <c r="N77" s="42">
        <v>1.0194450445861385</v>
      </c>
      <c r="O77" s="6"/>
    </row>
    <row r="78" spans="1:16" x14ac:dyDescent="0.25">
      <c r="L78" s="7"/>
      <c r="N78" s="30">
        <f>SUM(N57:N77)</f>
        <v>161.23912639451834</v>
      </c>
      <c r="O78">
        <v>21</v>
      </c>
      <c r="P78" s="30">
        <f>+N78/O77:O78</f>
        <v>7.6780536378342061</v>
      </c>
    </row>
    <row r="79" spans="1:16" x14ac:dyDescent="0.25">
      <c r="N79" s="30">
        <f>AVERAGE(N57:N77)</f>
        <v>7.6780536378342061</v>
      </c>
    </row>
    <row r="80" spans="1:16" ht="15.75" x14ac:dyDescent="0.25">
      <c r="A80" s="2" t="s">
        <v>46</v>
      </c>
      <c r="B80" s="1"/>
      <c r="C80" s="1"/>
      <c r="D80" s="1"/>
      <c r="E80" s="1"/>
      <c r="F80" s="1"/>
      <c r="G80" s="3" t="s">
        <v>50</v>
      </c>
      <c r="J80" s="3" t="s">
        <v>45</v>
      </c>
      <c r="K80" s="1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J81" s="5" t="s">
        <v>5</v>
      </c>
      <c r="K81" s="5" t="s">
        <v>12</v>
      </c>
      <c r="L81" s="5" t="s">
        <v>13</v>
      </c>
      <c r="M81" s="5" t="s">
        <v>14</v>
      </c>
      <c r="N81" s="5" t="s">
        <v>8</v>
      </c>
    </row>
    <row r="82" spans="1:14" ht="15.75" x14ac:dyDescent="0.25">
      <c r="A82" s="5" t="s">
        <v>44</v>
      </c>
      <c r="B82" s="1" t="s">
        <v>4</v>
      </c>
      <c r="C82" s="1" t="s">
        <v>47</v>
      </c>
      <c r="D82" s="5" t="s">
        <v>48</v>
      </c>
      <c r="E82" s="1" t="s">
        <v>49</v>
      </c>
      <c r="F82" s="1"/>
      <c r="G82" s="5" t="s">
        <v>4</v>
      </c>
      <c r="H82" s="5" t="s">
        <v>44</v>
      </c>
      <c r="J82" s="1">
        <v>37.450000000000003</v>
      </c>
      <c r="K82" s="1">
        <v>1</v>
      </c>
      <c r="L82" s="1">
        <v>-0.61399999999999999</v>
      </c>
      <c r="M82" s="1">
        <f>POWER(K82,L82)</f>
        <v>1</v>
      </c>
      <c r="N82" s="10">
        <f>+J82*M82</f>
        <v>37.450000000000003</v>
      </c>
    </row>
    <row r="83" spans="1:14" ht="15.75" x14ac:dyDescent="0.25">
      <c r="A83" s="34">
        <f>+E83*C83</f>
        <v>1.617</v>
      </c>
      <c r="B83" s="1">
        <v>1</v>
      </c>
      <c r="C83" s="1">
        <v>1.617</v>
      </c>
      <c r="D83" s="1">
        <v>0.38600000000000001</v>
      </c>
      <c r="E83" s="1">
        <f>POWER(B83,D83)</f>
        <v>1</v>
      </c>
      <c r="F83" s="1"/>
      <c r="G83" s="5">
        <v>1</v>
      </c>
      <c r="H83" s="9">
        <v>1.617</v>
      </c>
      <c r="J83" s="1">
        <v>37.450000000000003</v>
      </c>
      <c r="K83" s="1">
        <v>2</v>
      </c>
      <c r="L83" s="1">
        <v>-0.61399999999999999</v>
      </c>
      <c r="M83" s="1">
        <f t="shared" ref="M83:M96" si="7">POWER(K83,L83)</f>
        <v>0.65338262694658666</v>
      </c>
      <c r="N83" s="10">
        <f t="shared" ref="N83:N96" si="8">+J83*M83</f>
        <v>24.469179379149672</v>
      </c>
    </row>
    <row r="84" spans="1:14" ht="15.75" x14ac:dyDescent="0.25">
      <c r="A84" s="34">
        <f t="shared" ref="A84:A97" si="9">+E84*C84</f>
        <v>3.0096253867749896</v>
      </c>
      <c r="B84" s="1">
        <v>5</v>
      </c>
      <c r="C84" s="1">
        <v>1.617</v>
      </c>
      <c r="D84" s="1">
        <v>0.38600000000000001</v>
      </c>
      <c r="E84" s="1">
        <f t="shared" ref="E84:E97" si="10">POWER(B84,D84)</f>
        <v>1.8612401897186082</v>
      </c>
      <c r="F84" s="1"/>
      <c r="G84" s="5">
        <v>5</v>
      </c>
      <c r="H84" s="9">
        <v>3.0096253867749896</v>
      </c>
      <c r="J84" s="1">
        <v>37.450000000000003</v>
      </c>
      <c r="K84" s="1">
        <v>3</v>
      </c>
      <c r="L84" s="1">
        <v>-0.61399999999999999</v>
      </c>
      <c r="M84" s="1">
        <f t="shared" si="7"/>
        <v>0.50938663922172878</v>
      </c>
      <c r="N84" s="10">
        <f t="shared" si="8"/>
        <v>19.076529638853746</v>
      </c>
    </row>
    <row r="85" spans="1:14" ht="15.75" x14ac:dyDescent="0.25">
      <c r="A85" s="34">
        <f t="shared" si="9"/>
        <v>3.9328738826723595</v>
      </c>
      <c r="B85" s="1">
        <v>10</v>
      </c>
      <c r="C85" s="1">
        <v>1.617</v>
      </c>
      <c r="D85" s="1">
        <v>0.38600000000000001</v>
      </c>
      <c r="E85" s="1">
        <f t="shared" si="10"/>
        <v>2.4322040090738155</v>
      </c>
      <c r="F85" s="1"/>
      <c r="G85" s="5">
        <v>10</v>
      </c>
      <c r="H85" s="9">
        <v>3.9328738826723595</v>
      </c>
      <c r="J85" s="1">
        <v>37.450000000000003</v>
      </c>
      <c r="K85" s="1">
        <v>5</v>
      </c>
      <c r="L85" s="1">
        <v>-0.61399999999999999</v>
      </c>
      <c r="M85" s="1">
        <f t="shared" si="7"/>
        <v>0.37224803794372169</v>
      </c>
      <c r="N85" s="10">
        <f t="shared" si="8"/>
        <v>13.940689020992378</v>
      </c>
    </row>
    <row r="86" spans="1:14" ht="15.75" x14ac:dyDescent="0.25">
      <c r="A86" s="34">
        <f t="shared" si="9"/>
        <v>4.5991888832571224</v>
      </c>
      <c r="B86" s="1">
        <v>15</v>
      </c>
      <c r="C86" s="1">
        <v>1.617</v>
      </c>
      <c r="D86" s="1">
        <v>0.38600000000000001</v>
      </c>
      <c r="E86" s="1">
        <f t="shared" si="10"/>
        <v>2.8442726550755242</v>
      </c>
      <c r="F86" s="1"/>
      <c r="G86" s="5">
        <v>15</v>
      </c>
      <c r="H86" s="9">
        <v>4.5991888832571224</v>
      </c>
      <c r="J86" s="1">
        <v>37.450000000000003</v>
      </c>
      <c r="K86" s="1">
        <v>7</v>
      </c>
      <c r="L86" s="1">
        <v>-0.61399999999999999</v>
      </c>
      <c r="M86" s="1">
        <f t="shared" si="7"/>
        <v>0.30276788246563052</v>
      </c>
      <c r="N86" s="10">
        <f t="shared" si="8"/>
        <v>11.338657198337865</v>
      </c>
    </row>
    <row r="87" spans="1:14" ht="15.75" x14ac:dyDescent="0.25">
      <c r="A87" s="34">
        <f t="shared" si="9"/>
        <v>5.1393429378201763</v>
      </c>
      <c r="B87" s="1">
        <v>20</v>
      </c>
      <c r="C87" s="1">
        <v>1.617</v>
      </c>
      <c r="D87" s="1">
        <v>0.38600000000000001</v>
      </c>
      <c r="E87" s="1">
        <f t="shared" si="10"/>
        <v>3.1783196894373384</v>
      </c>
      <c r="F87" s="1"/>
      <c r="G87" s="5">
        <v>20</v>
      </c>
      <c r="H87" s="9">
        <v>5.1393429378201763</v>
      </c>
      <c r="J87" s="1">
        <v>37.450000000000003</v>
      </c>
      <c r="K87" s="1">
        <v>9</v>
      </c>
      <c r="L87" s="1">
        <v>-0.61399999999999999</v>
      </c>
      <c r="M87" s="1">
        <f t="shared" si="7"/>
        <v>0.25947474821760769</v>
      </c>
      <c r="N87" s="10">
        <f t="shared" si="8"/>
        <v>9.7173293207494087</v>
      </c>
    </row>
    <row r="88" spans="1:14" ht="15.75" x14ac:dyDescent="0.25">
      <c r="A88" s="34">
        <f t="shared" si="9"/>
        <v>5.6016357258630203</v>
      </c>
      <c r="B88" s="1">
        <v>25</v>
      </c>
      <c r="C88" s="1">
        <v>1.617</v>
      </c>
      <c r="D88" s="1">
        <v>0.38600000000000001</v>
      </c>
      <c r="E88" s="1">
        <f t="shared" si="10"/>
        <v>3.4642150438237604</v>
      </c>
      <c r="F88" s="1"/>
      <c r="G88" s="5">
        <v>25</v>
      </c>
      <c r="H88" s="9">
        <v>5.6016357258630203</v>
      </c>
      <c r="J88" s="1">
        <v>37.450000000000003</v>
      </c>
      <c r="K88" s="1">
        <v>14</v>
      </c>
      <c r="L88" s="1">
        <v>-0.61399999999999999</v>
      </c>
      <c r="M88" s="1">
        <f t="shared" si="7"/>
        <v>0.19782327440044914</v>
      </c>
      <c r="N88" s="10">
        <f t="shared" si="8"/>
        <v>7.4084816262968207</v>
      </c>
    </row>
    <row r="89" spans="1:14" ht="15.75" x14ac:dyDescent="0.25">
      <c r="A89" s="34">
        <f t="shared" si="9"/>
        <v>6.0100602287321543</v>
      </c>
      <c r="B89" s="1">
        <v>30</v>
      </c>
      <c r="C89" s="1">
        <v>1.617</v>
      </c>
      <c r="D89" s="1">
        <v>0.38600000000000001</v>
      </c>
      <c r="E89" s="1">
        <f t="shared" si="10"/>
        <v>3.7167966782511774</v>
      </c>
      <c r="F89" s="1"/>
      <c r="G89" s="5">
        <v>30</v>
      </c>
      <c r="H89" s="9">
        <v>6.0100602287321543</v>
      </c>
      <c r="J89" s="1">
        <v>37.450000000000003</v>
      </c>
      <c r="K89" s="1">
        <v>19</v>
      </c>
      <c r="L89" s="1">
        <v>-0.61399999999999999</v>
      </c>
      <c r="M89" s="1">
        <f t="shared" si="7"/>
        <v>0.16400054414466081</v>
      </c>
      <c r="N89" s="10">
        <f t="shared" si="8"/>
        <v>6.141820378217548</v>
      </c>
    </row>
    <row r="90" spans="1:14" ht="15.75" x14ac:dyDescent="0.25">
      <c r="A90" s="34">
        <f t="shared" si="9"/>
        <v>6.3785253375806752</v>
      </c>
      <c r="B90" s="1">
        <v>35</v>
      </c>
      <c r="C90" s="1">
        <v>1.617</v>
      </c>
      <c r="D90" s="1">
        <v>0.38600000000000001</v>
      </c>
      <c r="E90" s="1">
        <f t="shared" si="10"/>
        <v>3.9446662570072202</v>
      </c>
      <c r="F90" s="1"/>
      <c r="G90" s="5">
        <v>35</v>
      </c>
      <c r="H90" s="9">
        <v>6.3785253375806752</v>
      </c>
      <c r="J90" s="1">
        <v>37.450000000000003</v>
      </c>
      <c r="K90" s="1">
        <v>24</v>
      </c>
      <c r="L90" s="1">
        <v>-0.61399999999999999</v>
      </c>
      <c r="M90" s="1">
        <f t="shared" si="7"/>
        <v>0.14208567591166066</v>
      </c>
      <c r="N90" s="10">
        <f t="shared" si="8"/>
        <v>5.3211085628916921</v>
      </c>
    </row>
    <row r="91" spans="1:14" ht="15.75" x14ac:dyDescent="0.25">
      <c r="A91" s="34">
        <f t="shared" si="9"/>
        <v>6.7159147789846694</v>
      </c>
      <c r="B91" s="1">
        <v>40</v>
      </c>
      <c r="C91" s="1">
        <v>1.617</v>
      </c>
      <c r="D91" s="1">
        <v>0.38600000000000001</v>
      </c>
      <c r="E91" s="1">
        <f t="shared" si="10"/>
        <v>4.153317735921255</v>
      </c>
      <c r="F91" s="1"/>
      <c r="G91" s="5">
        <v>40</v>
      </c>
      <c r="H91" s="9">
        <v>6.7159147789846694</v>
      </c>
      <c r="J91" s="1">
        <v>37.450000000000003</v>
      </c>
      <c r="K91" s="1">
        <v>34</v>
      </c>
      <c r="L91" s="1">
        <v>-0.61399999999999999</v>
      </c>
      <c r="M91" s="1">
        <f t="shared" si="7"/>
        <v>0.11472866627801458</v>
      </c>
      <c r="N91" s="10">
        <f t="shared" si="8"/>
        <v>4.296588552111646</v>
      </c>
    </row>
    <row r="92" spans="1:14" ht="15.75" x14ac:dyDescent="0.25">
      <c r="A92" s="34">
        <f t="shared" si="9"/>
        <v>7.0282961051648458</v>
      </c>
      <c r="B92" s="1">
        <v>45</v>
      </c>
      <c r="C92" s="1">
        <v>1.617</v>
      </c>
      <c r="D92" s="1">
        <v>0.38600000000000001</v>
      </c>
      <c r="E92" s="1">
        <f t="shared" si="10"/>
        <v>4.3465034663975546</v>
      </c>
      <c r="F92" s="1"/>
      <c r="G92" s="5">
        <v>45</v>
      </c>
      <c r="H92" s="9">
        <v>7.0282961051648458</v>
      </c>
      <c r="J92" s="1">
        <v>37.450000000000003</v>
      </c>
      <c r="K92" s="1">
        <v>44</v>
      </c>
      <c r="L92" s="1">
        <v>-0.61399999999999999</v>
      </c>
      <c r="M92" s="1">
        <f t="shared" si="7"/>
        <v>9.7930970101698198E-2</v>
      </c>
      <c r="N92" s="10">
        <f t="shared" si="8"/>
        <v>3.6675148303085976</v>
      </c>
    </row>
    <row r="93" spans="1:14" ht="15.75" x14ac:dyDescent="0.25">
      <c r="A93" s="34">
        <f t="shared" si="9"/>
        <v>7.3200229315244609</v>
      </c>
      <c r="B93" s="1">
        <v>50</v>
      </c>
      <c r="C93" s="1">
        <v>1.617</v>
      </c>
      <c r="D93" s="1">
        <v>0.38600000000000001</v>
      </c>
      <c r="E93" s="1">
        <f t="shared" si="10"/>
        <v>4.5269158512829071</v>
      </c>
      <c r="F93" s="1"/>
      <c r="G93" s="5">
        <v>50</v>
      </c>
      <c r="H93" s="9">
        <v>7.3200229315244609</v>
      </c>
      <c r="J93" s="1">
        <v>37.450000000000003</v>
      </c>
      <c r="K93" s="1">
        <v>54</v>
      </c>
      <c r="L93" s="1">
        <v>-0.61399999999999999</v>
      </c>
      <c r="M93" s="1">
        <f t="shared" si="7"/>
        <v>8.6359522322144971E-2</v>
      </c>
      <c r="N93" s="10">
        <f t="shared" si="8"/>
        <v>3.2341641109643295</v>
      </c>
    </row>
    <row r="94" spans="1:14" ht="15.75" x14ac:dyDescent="0.25">
      <c r="A94" s="34">
        <f t="shared" si="9"/>
        <v>9.5655516246174166</v>
      </c>
      <c r="B94" s="1">
        <v>100</v>
      </c>
      <c r="C94" s="1">
        <v>1.617</v>
      </c>
      <c r="D94" s="1">
        <v>0.38600000000000001</v>
      </c>
      <c r="E94" s="1">
        <f t="shared" si="10"/>
        <v>5.9156163417547409</v>
      </c>
      <c r="F94" s="1"/>
      <c r="G94" s="5">
        <v>100</v>
      </c>
      <c r="H94" s="9">
        <v>9.5655516246174166</v>
      </c>
      <c r="J94" s="1">
        <v>37.450000000000003</v>
      </c>
      <c r="K94" s="1">
        <v>74</v>
      </c>
      <c r="L94" s="1">
        <v>-0.61399999999999999</v>
      </c>
      <c r="M94" s="1">
        <f t="shared" si="7"/>
        <v>7.1169141014854567E-2</v>
      </c>
      <c r="N94" s="10">
        <f t="shared" si="8"/>
        <v>2.6652843310063039</v>
      </c>
    </row>
    <row r="95" spans="1:14" ht="15.75" x14ac:dyDescent="0.25">
      <c r="A95" s="34">
        <f t="shared" si="9"/>
        <v>12.499930497371428</v>
      </c>
      <c r="B95" s="1">
        <v>200</v>
      </c>
      <c r="C95" s="1">
        <v>1.617</v>
      </c>
      <c r="D95" s="1">
        <v>0.38600000000000001</v>
      </c>
      <c r="E95" s="1">
        <f t="shared" si="10"/>
        <v>7.730321890767736</v>
      </c>
      <c r="F95" s="1"/>
      <c r="G95" s="5">
        <v>200</v>
      </c>
      <c r="H95" s="9">
        <v>12.499930497371428</v>
      </c>
      <c r="J95" s="1">
        <v>37.450000000000003</v>
      </c>
      <c r="K95" s="1">
        <v>94</v>
      </c>
      <c r="L95" s="1">
        <v>-0.61399999999999999</v>
      </c>
      <c r="M95" s="1">
        <f t="shared" si="7"/>
        <v>6.1446832128688178E-2</v>
      </c>
      <c r="N95" s="10">
        <f t="shared" si="8"/>
        <v>2.3011838632193724</v>
      </c>
    </row>
    <row r="96" spans="1:14" ht="15.75" x14ac:dyDescent="0.25">
      <c r="A96" s="34">
        <f t="shared" si="9"/>
        <v>14.617692583097435</v>
      </c>
      <c r="B96" s="1">
        <v>300</v>
      </c>
      <c r="C96" s="1">
        <v>1.617</v>
      </c>
      <c r="D96" s="1">
        <v>0.38600000000000001</v>
      </c>
      <c r="E96" s="1">
        <f t="shared" si="10"/>
        <v>9.0400077817547526</v>
      </c>
      <c r="F96" s="1"/>
      <c r="G96" s="5">
        <v>300</v>
      </c>
      <c r="H96" s="9">
        <v>14.617692583097435</v>
      </c>
      <c r="J96" s="1">
        <v>37.450000000000003</v>
      </c>
      <c r="K96" s="1">
        <v>102</v>
      </c>
      <c r="L96" s="1">
        <v>-0.61399999999999999</v>
      </c>
      <c r="M96" s="1">
        <f t="shared" si="7"/>
        <v>5.8441249737749147E-2</v>
      </c>
      <c r="N96" s="10">
        <f t="shared" si="8"/>
        <v>2.1886248026787056</v>
      </c>
    </row>
    <row r="97" spans="1:12" ht="15.75" x14ac:dyDescent="0.25">
      <c r="A97" s="34">
        <f t="shared" si="9"/>
        <v>15.513874898042628</v>
      </c>
      <c r="B97" s="1">
        <v>350</v>
      </c>
      <c r="C97" s="1">
        <v>1.617</v>
      </c>
      <c r="D97" s="1">
        <v>0.38600000000000001</v>
      </c>
      <c r="E97" s="1">
        <f t="shared" si="10"/>
        <v>9.5942330847511617</v>
      </c>
      <c r="F97" s="1"/>
      <c r="G97" s="5">
        <v>350</v>
      </c>
      <c r="H97" s="9">
        <v>15.513874898042628</v>
      </c>
      <c r="I97" s="1">
        <f>+H97/G97</f>
        <v>4.4325356851550368E-2</v>
      </c>
      <c r="J97" s="13">
        <f>+I97*60</f>
        <v>2.6595214110930221</v>
      </c>
      <c r="K97" s="1" t="s">
        <v>9</v>
      </c>
    </row>
    <row r="98" spans="1:12" ht="15.75" x14ac:dyDescent="0.25">
      <c r="A98" s="1"/>
      <c r="B98" s="1"/>
      <c r="C98" s="1"/>
      <c r="D98" s="1"/>
      <c r="E98" s="1"/>
      <c r="F98" s="1"/>
      <c r="G98" s="1"/>
      <c r="I98" s="1"/>
      <c r="J98" s="1"/>
    </row>
    <row r="99" spans="1:12" ht="15.75" x14ac:dyDescent="0.25">
      <c r="A99" s="1"/>
      <c r="B99" s="1"/>
      <c r="C99" s="1"/>
      <c r="D99" s="1"/>
      <c r="E99" s="1"/>
      <c r="F99" s="1"/>
      <c r="G99" s="1"/>
    </row>
    <row r="100" spans="1:12" ht="15.75" x14ac:dyDescent="0.25">
      <c r="A100" s="1"/>
      <c r="B100" s="1"/>
      <c r="C100" s="1"/>
      <c r="D100" s="1"/>
      <c r="E100" s="1"/>
      <c r="F100" s="1"/>
      <c r="G100" s="1"/>
    </row>
    <row r="101" spans="1:12" ht="15.75" x14ac:dyDescent="0.25">
      <c r="A101" s="1"/>
      <c r="B101" s="1"/>
      <c r="C101" s="1"/>
      <c r="D101" s="1"/>
      <c r="E101" s="1"/>
      <c r="F101" s="1"/>
      <c r="G101" s="1"/>
      <c r="K101" s="1"/>
      <c r="L101" s="10"/>
    </row>
    <row r="102" spans="1:12" ht="15.75" x14ac:dyDescent="0.25">
      <c r="A102" s="1"/>
      <c r="B102" s="1"/>
      <c r="C102" s="1"/>
      <c r="D102" s="1"/>
      <c r="E102" s="1"/>
      <c r="F102" s="1"/>
      <c r="G102" s="1"/>
      <c r="K102" s="1"/>
      <c r="L102" s="10"/>
    </row>
    <row r="103" spans="1:12" ht="15.75" x14ac:dyDescent="0.25">
      <c r="A103" s="1"/>
      <c r="B103" s="1"/>
      <c r="C103" s="1"/>
      <c r="D103" s="1"/>
      <c r="E103" s="1"/>
      <c r="F103" s="1"/>
      <c r="G103" s="1"/>
      <c r="K103" s="1"/>
      <c r="L103" s="10"/>
    </row>
    <row r="104" spans="1:12" ht="15.75" x14ac:dyDescent="0.25">
      <c r="A104" s="1"/>
      <c r="B104" s="1"/>
      <c r="C104" s="1"/>
      <c r="D104" s="1"/>
      <c r="E104" s="1"/>
      <c r="F104" s="1"/>
      <c r="G104" s="1"/>
      <c r="K104" s="1"/>
      <c r="L104" s="10"/>
    </row>
    <row r="105" spans="1:12" ht="15.75" x14ac:dyDescent="0.25">
      <c r="A105" s="1"/>
      <c r="B105" s="1"/>
      <c r="C105" s="1"/>
      <c r="D105" s="1"/>
      <c r="E105" s="1"/>
      <c r="F105" s="1"/>
      <c r="G105" s="1"/>
      <c r="K105" s="1"/>
      <c r="L105" s="10"/>
    </row>
    <row r="106" spans="1:12" ht="15.75" x14ac:dyDescent="0.25">
      <c r="A106" s="1"/>
      <c r="B106" s="1"/>
      <c r="C106" s="1"/>
      <c r="D106" s="1"/>
      <c r="E106" s="1"/>
      <c r="F106" s="1"/>
      <c r="G106" s="1"/>
      <c r="K106" s="1"/>
      <c r="L106" s="10"/>
    </row>
    <row r="107" spans="1:12" ht="15.75" x14ac:dyDescent="0.25">
      <c r="K107" s="1"/>
      <c r="L107" s="10"/>
    </row>
    <row r="108" spans="1:12" ht="15.75" x14ac:dyDescent="0.25">
      <c r="K108" s="1"/>
      <c r="L108" s="10"/>
    </row>
    <row r="109" spans="1:12" ht="15.75" x14ac:dyDescent="0.25">
      <c r="K109" s="1"/>
      <c r="L109" s="10"/>
    </row>
    <row r="110" spans="1:12" ht="15.75" x14ac:dyDescent="0.25">
      <c r="K110" s="1"/>
      <c r="L110" s="10"/>
    </row>
    <row r="111" spans="1:12" ht="15.75" x14ac:dyDescent="0.25">
      <c r="K111" s="1"/>
      <c r="L111" s="10"/>
    </row>
    <row r="112" spans="1:12" ht="15.75" x14ac:dyDescent="0.25">
      <c r="K112" s="1"/>
      <c r="L112" s="10"/>
    </row>
    <row r="113" spans="1:14" ht="15.75" x14ac:dyDescent="0.25">
      <c r="K113" s="1"/>
      <c r="L113" s="10"/>
    </row>
    <row r="114" spans="1:14" ht="15.75" x14ac:dyDescent="0.25">
      <c r="K114" s="1"/>
      <c r="L114" s="10"/>
    </row>
    <row r="115" spans="1:14" ht="15.75" x14ac:dyDescent="0.25">
      <c r="K115" s="1"/>
      <c r="L115" s="10"/>
    </row>
    <row r="116" spans="1:14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3"/>
      <c r="M116" s="1"/>
      <c r="N116" s="1"/>
    </row>
    <row r="117" spans="1:14" ht="15.75" x14ac:dyDescent="0.25">
      <c r="A117" s="3" t="s">
        <v>40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3"/>
      <c r="M117" s="1"/>
      <c r="N117" s="1"/>
    </row>
    <row r="118" spans="1:14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3"/>
      <c r="M118" s="1"/>
      <c r="N118" s="1"/>
    </row>
    <row r="119" spans="1:14" ht="15.75" x14ac:dyDescent="0.25">
      <c r="A119" s="1" t="s">
        <v>41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"/>
      <c r="N119" s="1"/>
    </row>
    <row r="120" spans="1:14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3"/>
      <c r="M120" s="1"/>
      <c r="N120" s="1"/>
    </row>
    <row r="121" spans="1:14" ht="15.75" x14ac:dyDescent="0.25">
      <c r="A121" s="3" t="s">
        <v>42</v>
      </c>
      <c r="B121" s="1"/>
      <c r="C121" s="1"/>
      <c r="D121" s="1"/>
      <c r="E121" s="1"/>
      <c r="F121" s="3" t="s">
        <v>111</v>
      </c>
      <c r="G121" s="1"/>
      <c r="H121" s="1"/>
      <c r="I121" s="1"/>
      <c r="J121" s="1"/>
      <c r="K121" s="1"/>
      <c r="L121" s="13"/>
      <c r="M121" s="1"/>
      <c r="N121" s="1"/>
    </row>
    <row r="122" spans="1:14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3"/>
      <c r="M122" s="1"/>
      <c r="N122" s="1"/>
    </row>
    <row r="123" spans="1:14" ht="15.75" x14ac:dyDescent="0.25">
      <c r="A123" s="1" t="s">
        <v>43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3"/>
      <c r="M123" s="1"/>
      <c r="N123" s="1"/>
    </row>
    <row r="124" spans="1:14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3"/>
      <c r="M124" s="1"/>
      <c r="N124" s="1"/>
    </row>
    <row r="125" spans="1:14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3"/>
      <c r="M125" s="1"/>
      <c r="N125" s="1"/>
    </row>
    <row r="126" spans="1:14" ht="15.75" x14ac:dyDescent="0.25">
      <c r="A126" s="3" t="s">
        <v>112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x14ac:dyDescent="0.25">
      <c r="A128" s="1" t="s">
        <v>113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x14ac:dyDescent="0.25">
      <c r="A130" s="1" t="s">
        <v>114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x14ac:dyDescent="0.25">
      <c r="A132" s="1"/>
      <c r="B132" s="1"/>
      <c r="C132" s="1" t="s">
        <v>115</v>
      </c>
      <c r="D132" s="1" t="s">
        <v>116</v>
      </c>
      <c r="E132" s="1" t="s">
        <v>117</v>
      </c>
      <c r="F132" s="13">
        <f>161.2/21</f>
        <v>7.6761904761904756</v>
      </c>
      <c r="G132" s="1" t="s">
        <v>9</v>
      </c>
      <c r="H132" s="1"/>
      <c r="I132" s="1"/>
      <c r="J132" s="1"/>
      <c r="K132" s="1"/>
      <c r="L132" s="1"/>
      <c r="M132" s="1"/>
      <c r="N132" s="1"/>
    </row>
    <row r="133" spans="1:14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x14ac:dyDescent="0.25">
      <c r="A135" s="1" t="s">
        <v>118</v>
      </c>
      <c r="B135" s="1"/>
      <c r="C135" s="1"/>
      <c r="D135" s="1"/>
      <c r="E135" s="1"/>
      <c r="F135" s="1" t="s">
        <v>108</v>
      </c>
      <c r="G135" s="1"/>
      <c r="H135" s="1"/>
      <c r="I135" s="1"/>
      <c r="J135" s="1"/>
      <c r="K135" s="1"/>
      <c r="L135" s="1"/>
      <c r="M135" s="1"/>
      <c r="N135" s="1"/>
    </row>
    <row r="136" spans="1:14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x14ac:dyDescent="0.25">
      <c r="A137" s="1" t="s">
        <v>119</v>
      </c>
      <c r="B137" s="1"/>
      <c r="C137" s="1"/>
      <c r="D137" s="1"/>
      <c r="E137" s="1">
        <f>POWER(350,0.386)</f>
        <v>9.5942330847511617</v>
      </c>
      <c r="F137" s="34">
        <f>+E137*1.617</f>
        <v>15.513874898042628</v>
      </c>
      <c r="G137" s="1" t="s">
        <v>6</v>
      </c>
      <c r="H137" s="1">
        <f>+F137/350</f>
        <v>4.4325356851550368E-2</v>
      </c>
      <c r="I137" s="1">
        <v>60</v>
      </c>
      <c r="J137" s="32">
        <f>+H137*I137</f>
        <v>2.6595214110930221</v>
      </c>
      <c r="K137" s="27" t="s">
        <v>9</v>
      </c>
      <c r="L137" s="1"/>
      <c r="M137" s="1"/>
      <c r="N137" s="1"/>
    </row>
    <row r="138" spans="1:14" ht="15.75" x14ac:dyDescent="0.25">
      <c r="A138" s="1"/>
      <c r="B138" s="1"/>
      <c r="C138" s="1"/>
      <c r="D138" s="1"/>
      <c r="E138" s="1"/>
      <c r="F138" s="34"/>
      <c r="G138" s="1"/>
      <c r="H138" s="1"/>
      <c r="I138" s="1"/>
      <c r="J138" s="1"/>
      <c r="K138" s="1"/>
      <c r="L138" s="1"/>
      <c r="M138" s="1"/>
      <c r="N138" s="1"/>
    </row>
    <row r="139" spans="1:14" ht="15.75" x14ac:dyDescent="0.25">
      <c r="A139" s="1" t="s">
        <v>120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x14ac:dyDescent="0.25">
      <c r="A140" s="1" t="s">
        <v>121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x14ac:dyDescent="0.25">
      <c r="A141" s="1" t="s">
        <v>109</v>
      </c>
      <c r="B141" s="1"/>
      <c r="C141" s="1"/>
      <c r="D141" s="1">
        <f>POWER(350,-0.614)</f>
        <v>2.7412094527860469E-2</v>
      </c>
      <c r="E141" s="1">
        <f>+D141*1.617</f>
        <v>4.4325356851550375E-2</v>
      </c>
      <c r="F141" s="32">
        <f>+E141*60</f>
        <v>2.6595214110930225</v>
      </c>
      <c r="G141" s="27" t="s">
        <v>9</v>
      </c>
      <c r="H141" s="1"/>
      <c r="I141" s="1"/>
      <c r="J141" s="1"/>
      <c r="K141" s="1"/>
      <c r="L141" s="1"/>
      <c r="M141" s="1"/>
      <c r="N141" s="1"/>
    </row>
    <row r="142" spans="1:14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x14ac:dyDescent="0.25">
      <c r="A144" s="3" t="s">
        <v>122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x14ac:dyDescent="0.25">
      <c r="A146" s="1" t="s">
        <v>123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x14ac:dyDescent="0.25">
      <c r="A148" s="1" t="s">
        <v>124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x14ac:dyDescent="0.25">
      <c r="A150" s="1" t="s">
        <v>125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x14ac:dyDescent="0.25">
      <c r="A152" s="1" t="s">
        <v>126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x14ac:dyDescent="0.25">
      <c r="A154" s="1" t="s">
        <v>127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x14ac:dyDescent="0.25">
      <c r="A156" s="1" t="s">
        <v>130</v>
      </c>
      <c r="B156" s="1"/>
      <c r="C156" s="1"/>
      <c r="D156" s="27">
        <f>+-600*-0.614</f>
        <v>368.4</v>
      </c>
      <c r="E156" s="27" t="s">
        <v>7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x14ac:dyDescent="0.25">
      <c r="A158" s="1" t="s">
        <v>128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x14ac:dyDescent="0.25">
      <c r="A161" s="1" t="s">
        <v>129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x14ac:dyDescent="0.25">
      <c r="A163" s="1" t="s">
        <v>131</v>
      </c>
      <c r="B163" s="1"/>
      <c r="C163" s="1"/>
      <c r="D163" s="1"/>
      <c r="E163" s="1">
        <f>POWER(D156,-0.614)</f>
        <v>2.6563160867482002E-2</v>
      </c>
      <c r="F163" s="43">
        <f>37.45*E163</f>
        <v>0.99479037448720109</v>
      </c>
      <c r="G163" s="27" t="s">
        <v>9</v>
      </c>
      <c r="H163" s="1"/>
      <c r="I163" s="1"/>
      <c r="J163" s="1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3.25" x14ac:dyDescent="0.35">
      <c r="A166" s="17" t="s">
        <v>51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3.25" x14ac:dyDescent="0.35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x14ac:dyDescent="0.25">
      <c r="A168" s="3" t="s">
        <v>79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x14ac:dyDescent="0.25">
      <c r="A169" s="3" t="s">
        <v>80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x14ac:dyDescent="0.25">
      <c r="A170" s="3" t="s">
        <v>81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3.25" x14ac:dyDescent="0.3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x14ac:dyDescent="0.25">
      <c r="A172" s="1" t="s">
        <v>82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x14ac:dyDescent="0.25">
      <c r="A173" s="1" t="s">
        <v>84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x14ac:dyDescent="0.25">
      <c r="A174" s="1" t="s">
        <v>83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x14ac:dyDescent="0.25">
      <c r="A175" s="1" t="s">
        <v>85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x14ac:dyDescent="0.25">
      <c r="A176" s="1" t="s">
        <v>86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x14ac:dyDescent="0.25">
      <c r="A177" s="1" t="s">
        <v>90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x14ac:dyDescent="0.25">
      <c r="A178" s="1" t="s">
        <v>87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x14ac:dyDescent="0.25">
      <c r="A179" s="1" t="s">
        <v>88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x14ac:dyDescent="0.25">
      <c r="A180" s="1" t="s">
        <v>89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x14ac:dyDescent="0.25">
      <c r="A181" s="1" t="s">
        <v>91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x14ac:dyDescent="0.25">
      <c r="A182" s="1" t="s">
        <v>92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x14ac:dyDescent="0.25">
      <c r="A183" s="1" t="s">
        <v>93</v>
      </c>
      <c r="B183" s="1"/>
      <c r="C183" s="1"/>
      <c r="D183" s="1">
        <f>1.199*3.6</f>
        <v>4.3164000000000007</v>
      </c>
      <c r="E183" s="1" t="s">
        <v>95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x14ac:dyDescent="0.25">
      <c r="A184" s="1" t="s">
        <v>94</v>
      </c>
      <c r="B184" s="1"/>
      <c r="C184" s="1"/>
      <c r="D184" s="1">
        <f>+D183/48</f>
        <v>8.9925000000000019E-2</v>
      </c>
      <c r="E184" s="1" t="s">
        <v>96</v>
      </c>
      <c r="F184" s="27" t="s">
        <v>97</v>
      </c>
      <c r="G184" s="1"/>
      <c r="H184" s="1"/>
      <c r="I184" s="1"/>
      <c r="J184" s="1"/>
      <c r="K184" s="1"/>
      <c r="L184" s="1"/>
      <c r="M184" s="1"/>
      <c r="N184" s="1"/>
    </row>
    <row r="185" spans="1:14" ht="15.75" x14ac:dyDescent="0.25">
      <c r="A185" s="1" t="s">
        <v>99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x14ac:dyDescent="0.25">
      <c r="A186" s="1" t="s">
        <v>100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thickBot="1" x14ac:dyDescent="0.3">
      <c r="K189" t="s">
        <v>76</v>
      </c>
    </row>
    <row r="190" spans="1:14" x14ac:dyDescent="0.25">
      <c r="A190" s="18" t="s">
        <v>17</v>
      </c>
      <c r="B190" s="46" t="s">
        <v>57</v>
      </c>
      <c r="C190" s="47"/>
      <c r="D190" s="19" t="s">
        <v>58</v>
      </c>
      <c r="E190" s="20" t="s">
        <v>59</v>
      </c>
      <c r="F190" s="19"/>
      <c r="G190" s="19" t="s">
        <v>60</v>
      </c>
      <c r="H190" s="19" t="s">
        <v>61</v>
      </c>
      <c r="I190" s="19" t="s">
        <v>62</v>
      </c>
      <c r="K190" s="26" t="s">
        <v>77</v>
      </c>
      <c r="L190" s="26" t="s">
        <v>78</v>
      </c>
    </row>
    <row r="191" spans="1:14" ht="15.75" thickBot="1" x14ac:dyDescent="0.3">
      <c r="A191" s="21"/>
      <c r="B191" s="22" t="s">
        <v>63</v>
      </c>
      <c r="C191" s="23" t="s">
        <v>64</v>
      </c>
      <c r="D191" s="23" t="s">
        <v>65</v>
      </c>
      <c r="E191" s="22" t="s">
        <v>66</v>
      </c>
      <c r="F191" s="23" t="s">
        <v>67</v>
      </c>
      <c r="G191" s="23" t="s">
        <v>68</v>
      </c>
      <c r="H191" s="23" t="s">
        <v>98</v>
      </c>
      <c r="I191" s="23" t="s">
        <v>69</v>
      </c>
      <c r="K191" s="25">
        <v>13.5</v>
      </c>
      <c r="L191" s="25">
        <v>8.99</v>
      </c>
    </row>
    <row r="192" spans="1:14" ht="15.75" thickBot="1" x14ac:dyDescent="0.3">
      <c r="A192" s="21"/>
      <c r="B192" s="23" t="s">
        <v>70</v>
      </c>
      <c r="C192" s="23" t="s">
        <v>71</v>
      </c>
      <c r="D192" s="23" t="s">
        <v>11</v>
      </c>
      <c r="E192" s="23" t="s">
        <v>52</v>
      </c>
      <c r="F192" s="23" t="s">
        <v>53</v>
      </c>
      <c r="G192" s="23" t="s">
        <v>3</v>
      </c>
      <c r="H192" s="23" t="s">
        <v>72</v>
      </c>
      <c r="I192" s="23" t="s">
        <v>73</v>
      </c>
      <c r="K192" s="25">
        <v>15.5</v>
      </c>
      <c r="L192" s="25">
        <v>6.89</v>
      </c>
    </row>
    <row r="193" spans="1:12" ht="15.75" thickBot="1" x14ac:dyDescent="0.3">
      <c r="A193" s="21"/>
      <c r="B193" s="23" t="s">
        <v>54</v>
      </c>
      <c r="C193" s="23" t="s">
        <v>54</v>
      </c>
      <c r="D193" s="23" t="s">
        <v>54</v>
      </c>
      <c r="E193" s="23" t="s">
        <v>55</v>
      </c>
      <c r="F193" s="23" t="s">
        <v>55</v>
      </c>
      <c r="G193" s="23" t="s">
        <v>56</v>
      </c>
      <c r="H193" s="23" t="s">
        <v>74</v>
      </c>
      <c r="I193" s="23" t="s">
        <v>74</v>
      </c>
      <c r="K193" s="25">
        <v>17.5</v>
      </c>
      <c r="L193" s="25">
        <v>5.85</v>
      </c>
    </row>
    <row r="194" spans="1:12" ht="15.75" thickBot="1" x14ac:dyDescent="0.3">
      <c r="A194" s="24">
        <v>0.34513888888888888</v>
      </c>
      <c r="B194" s="23" t="s">
        <v>75</v>
      </c>
      <c r="C194" s="23"/>
      <c r="D194" s="23"/>
      <c r="E194" s="23"/>
      <c r="F194" s="23"/>
      <c r="G194" s="23"/>
      <c r="H194" s="23"/>
      <c r="I194" s="23"/>
      <c r="K194" s="25">
        <v>19.5</v>
      </c>
      <c r="L194" s="25">
        <v>5.17</v>
      </c>
    </row>
    <row r="195" spans="1:12" ht="15.75" thickBot="1" x14ac:dyDescent="0.3">
      <c r="A195" s="24">
        <v>0.36249999999999999</v>
      </c>
      <c r="B195" s="23">
        <v>25</v>
      </c>
      <c r="C195" s="23">
        <v>0</v>
      </c>
      <c r="D195" s="23">
        <v>0</v>
      </c>
      <c r="E195" s="23">
        <v>1.5</v>
      </c>
      <c r="F195" s="23"/>
      <c r="G195" s="23"/>
      <c r="H195" s="23"/>
      <c r="I195" s="23"/>
      <c r="K195" s="25">
        <v>21.5</v>
      </c>
      <c r="L195" s="25">
        <v>4.93</v>
      </c>
    </row>
    <row r="196" spans="1:12" ht="15.75" thickBot="1" x14ac:dyDescent="0.3">
      <c r="A196" s="24">
        <v>0.36319444444444443</v>
      </c>
      <c r="B196" s="28">
        <v>26</v>
      </c>
      <c r="C196" s="28">
        <v>1</v>
      </c>
      <c r="D196" s="28">
        <v>13.5</v>
      </c>
      <c r="E196" s="28">
        <v>1.5</v>
      </c>
      <c r="F196" s="28">
        <v>0.30099999999999999</v>
      </c>
      <c r="G196" s="28">
        <v>8.99</v>
      </c>
      <c r="H196" s="28">
        <v>2.02</v>
      </c>
      <c r="I196" s="31">
        <v>2.02</v>
      </c>
      <c r="K196" s="25">
        <v>23.5</v>
      </c>
      <c r="L196" s="25">
        <v>4.78</v>
      </c>
    </row>
    <row r="197" spans="1:12" ht="15.75" thickBot="1" x14ac:dyDescent="0.3">
      <c r="A197" s="24">
        <v>0.36458333333333331</v>
      </c>
      <c r="B197" s="23">
        <v>28</v>
      </c>
      <c r="C197" s="23">
        <v>3</v>
      </c>
      <c r="D197" s="23">
        <v>15.5</v>
      </c>
      <c r="E197" s="23">
        <v>1.5</v>
      </c>
      <c r="F197" s="23">
        <v>0.58099999999999996</v>
      </c>
      <c r="G197" s="23">
        <v>6.89</v>
      </c>
      <c r="H197" s="23">
        <v>1.78</v>
      </c>
      <c r="I197" s="31">
        <v>3.8</v>
      </c>
      <c r="K197" s="25">
        <v>25.5</v>
      </c>
      <c r="L197" s="25">
        <v>4.5599999999999996</v>
      </c>
    </row>
    <row r="198" spans="1:12" ht="15.75" thickBot="1" x14ac:dyDescent="0.3">
      <c r="A198" s="24">
        <v>0.3659722222222222</v>
      </c>
      <c r="B198" s="23">
        <v>30</v>
      </c>
      <c r="C198" s="23">
        <v>5</v>
      </c>
      <c r="D198" s="23">
        <v>17.5</v>
      </c>
      <c r="E198" s="23">
        <v>1.5</v>
      </c>
      <c r="F198" s="23">
        <v>0.72</v>
      </c>
      <c r="G198" s="23">
        <v>5.85</v>
      </c>
      <c r="H198" s="23">
        <v>1.71</v>
      </c>
      <c r="I198" s="31">
        <v>5.51</v>
      </c>
      <c r="K198" s="25">
        <v>27.5</v>
      </c>
      <c r="L198" s="25">
        <v>4.33</v>
      </c>
    </row>
    <row r="199" spans="1:12" ht="15.75" thickBot="1" x14ac:dyDescent="0.3">
      <c r="A199" s="24">
        <v>0.36736111111111108</v>
      </c>
      <c r="B199" s="23">
        <v>32</v>
      </c>
      <c r="C199" s="23">
        <v>7</v>
      </c>
      <c r="D199" s="23">
        <v>19.5</v>
      </c>
      <c r="E199" s="23">
        <v>1.5</v>
      </c>
      <c r="F199" s="23">
        <v>0.81100000000000005</v>
      </c>
      <c r="G199" s="23">
        <v>5.17</v>
      </c>
      <c r="H199" s="23">
        <v>1.68</v>
      </c>
      <c r="I199" s="31">
        <v>7.19</v>
      </c>
      <c r="K199" s="25">
        <v>30.5</v>
      </c>
      <c r="L199" s="25">
        <v>4.09</v>
      </c>
    </row>
    <row r="200" spans="1:12" ht="15.75" thickBot="1" x14ac:dyDescent="0.3">
      <c r="A200" s="24">
        <v>0.36874999999999997</v>
      </c>
      <c r="B200" s="23">
        <v>34</v>
      </c>
      <c r="C200" s="23">
        <v>9</v>
      </c>
      <c r="D200" s="23">
        <v>21.5</v>
      </c>
      <c r="E200" s="23">
        <v>1.5</v>
      </c>
      <c r="F200" s="23">
        <v>0.84199999999999997</v>
      </c>
      <c r="G200" s="23">
        <v>4.93</v>
      </c>
      <c r="H200" s="23">
        <v>1.77</v>
      </c>
      <c r="I200" s="31">
        <v>8.9499999999999993</v>
      </c>
      <c r="K200" s="25">
        <v>32.5</v>
      </c>
      <c r="L200" s="25">
        <v>3.26</v>
      </c>
    </row>
    <row r="201" spans="1:12" ht="15.75" thickBot="1" x14ac:dyDescent="0.3">
      <c r="A201" s="24">
        <v>0.37013888888888885</v>
      </c>
      <c r="B201" s="23">
        <v>36</v>
      </c>
      <c r="C201" s="23">
        <v>11</v>
      </c>
      <c r="D201" s="23">
        <v>23.5</v>
      </c>
      <c r="E201" s="23">
        <v>1.5</v>
      </c>
      <c r="F201" s="23">
        <v>0.86199999999999999</v>
      </c>
      <c r="G201" s="23">
        <v>4.78</v>
      </c>
      <c r="H201" s="23">
        <v>1.87</v>
      </c>
      <c r="I201" s="31">
        <v>10.83</v>
      </c>
      <c r="K201" s="25">
        <v>34.5</v>
      </c>
      <c r="L201" s="25">
        <v>2.79</v>
      </c>
    </row>
    <row r="202" spans="1:12" ht="15.75" thickBot="1" x14ac:dyDescent="0.3">
      <c r="A202" s="24">
        <v>0.37152777777777773</v>
      </c>
      <c r="B202" s="23">
        <v>38</v>
      </c>
      <c r="C202" s="23">
        <v>13</v>
      </c>
      <c r="D202" s="23">
        <v>25.5</v>
      </c>
      <c r="E202" s="23">
        <v>1.5</v>
      </c>
      <c r="F202" s="23">
        <v>0.89200000000000002</v>
      </c>
      <c r="G202" s="23">
        <v>4.5599999999999996</v>
      </c>
      <c r="H202" s="23">
        <v>1.94</v>
      </c>
      <c r="I202" s="31">
        <v>12.76</v>
      </c>
      <c r="K202" s="25">
        <v>36.5</v>
      </c>
      <c r="L202" s="25">
        <v>2.64</v>
      </c>
    </row>
    <row r="203" spans="1:12" ht="15.75" thickBot="1" x14ac:dyDescent="0.3">
      <c r="A203" s="24">
        <v>0.37291666666666662</v>
      </c>
      <c r="B203" s="23">
        <v>40</v>
      </c>
      <c r="C203" s="23">
        <v>15</v>
      </c>
      <c r="D203" s="23">
        <v>27.5</v>
      </c>
      <c r="E203" s="23">
        <v>1.5</v>
      </c>
      <c r="F203" s="23">
        <v>0.92300000000000004</v>
      </c>
      <c r="G203" s="23">
        <v>4.33</v>
      </c>
      <c r="H203" s="23">
        <v>1.98</v>
      </c>
      <c r="I203" s="31">
        <v>14.75</v>
      </c>
      <c r="K203" s="25">
        <v>38.5</v>
      </c>
      <c r="L203" s="25">
        <v>3.05</v>
      </c>
    </row>
    <row r="204" spans="1:12" ht="15.75" thickBot="1" x14ac:dyDescent="0.3">
      <c r="A204" s="24">
        <v>0.375</v>
      </c>
      <c r="B204" s="23">
        <v>43</v>
      </c>
      <c r="C204" s="23">
        <v>18</v>
      </c>
      <c r="D204" s="23">
        <v>30.5</v>
      </c>
      <c r="E204" s="23">
        <v>1.5</v>
      </c>
      <c r="F204" s="23">
        <v>0.95499999999999996</v>
      </c>
      <c r="G204" s="23">
        <v>4.09</v>
      </c>
      <c r="H204" s="23">
        <v>2.08</v>
      </c>
      <c r="I204" s="31">
        <v>16.829999999999998</v>
      </c>
      <c r="K204" s="25">
        <v>40.5</v>
      </c>
      <c r="L204" s="25">
        <v>3.05</v>
      </c>
    </row>
    <row r="205" spans="1:12" ht="15.75" thickBot="1" x14ac:dyDescent="0.3">
      <c r="A205" s="24">
        <v>0.37638888888888888</v>
      </c>
      <c r="B205" s="23">
        <v>45</v>
      </c>
      <c r="C205" s="23">
        <v>20</v>
      </c>
      <c r="D205" s="23">
        <v>32.5</v>
      </c>
      <c r="E205" s="23">
        <v>1.5</v>
      </c>
      <c r="F205" s="23">
        <v>1.0649999999999999</v>
      </c>
      <c r="G205" s="23">
        <v>3.26</v>
      </c>
      <c r="H205" s="23">
        <v>1.77</v>
      </c>
      <c r="I205" s="31">
        <v>18.59</v>
      </c>
      <c r="K205" s="25">
        <v>42.5</v>
      </c>
      <c r="L205" s="25">
        <v>3.05</v>
      </c>
    </row>
    <row r="206" spans="1:12" ht="15.75" thickBot="1" x14ac:dyDescent="0.3">
      <c r="A206" s="24">
        <v>0.37777777777777777</v>
      </c>
      <c r="B206" s="23">
        <v>47</v>
      </c>
      <c r="C206" s="23">
        <v>22</v>
      </c>
      <c r="D206" s="23">
        <v>34.5</v>
      </c>
      <c r="E206" s="23">
        <v>1.5</v>
      </c>
      <c r="F206" s="23">
        <v>1.1279999999999999</v>
      </c>
      <c r="G206" s="23">
        <v>2.79</v>
      </c>
      <c r="H206" s="23">
        <v>1.6</v>
      </c>
      <c r="I206" s="31">
        <v>20.2</v>
      </c>
      <c r="K206" s="25">
        <v>44.5</v>
      </c>
      <c r="L206" s="25">
        <v>3.05</v>
      </c>
    </row>
    <row r="207" spans="1:12" ht="15.75" thickBot="1" x14ac:dyDescent="0.3">
      <c r="A207" s="24">
        <v>0.37916666666666665</v>
      </c>
      <c r="B207" s="23">
        <v>49</v>
      </c>
      <c r="C207" s="23">
        <v>24</v>
      </c>
      <c r="D207" s="23">
        <v>36.5</v>
      </c>
      <c r="E207" s="23">
        <v>1.5</v>
      </c>
      <c r="F207" s="23">
        <v>1.1479999999999999</v>
      </c>
      <c r="G207" s="23">
        <v>2.64</v>
      </c>
      <c r="H207" s="23">
        <v>1.61</v>
      </c>
      <c r="I207" s="31">
        <v>21.8</v>
      </c>
      <c r="K207" s="25">
        <v>46.5</v>
      </c>
      <c r="L207" s="25">
        <v>2.87</v>
      </c>
    </row>
    <row r="208" spans="1:12" ht="15.75" thickBot="1" x14ac:dyDescent="0.3">
      <c r="A208" s="24">
        <v>0.38055555555555554</v>
      </c>
      <c r="B208" s="23">
        <v>51</v>
      </c>
      <c r="C208" s="23">
        <v>26</v>
      </c>
      <c r="D208" s="23">
        <v>38.5</v>
      </c>
      <c r="E208" s="23">
        <v>1.5</v>
      </c>
      <c r="F208" s="23">
        <v>1.093</v>
      </c>
      <c r="G208" s="23">
        <v>3.05</v>
      </c>
      <c r="H208" s="23">
        <v>1.96</v>
      </c>
      <c r="I208" s="31">
        <v>23.76</v>
      </c>
      <c r="K208" s="25">
        <v>48.5</v>
      </c>
      <c r="L208" s="25">
        <v>2.87</v>
      </c>
    </row>
    <row r="209" spans="1:12" ht="15.75" thickBot="1" x14ac:dyDescent="0.3">
      <c r="A209" s="24">
        <v>0.38194444444444442</v>
      </c>
      <c r="B209" s="23">
        <v>53</v>
      </c>
      <c r="C209" s="23">
        <v>28</v>
      </c>
      <c r="D209" s="23">
        <v>40.5</v>
      </c>
      <c r="E209" s="23">
        <v>1.5</v>
      </c>
      <c r="F209" s="23">
        <v>1.093</v>
      </c>
      <c r="G209" s="23">
        <v>3.05</v>
      </c>
      <c r="H209" s="23">
        <v>2.06</v>
      </c>
      <c r="I209" s="31">
        <v>25.82</v>
      </c>
      <c r="K209" s="25">
        <v>50.5</v>
      </c>
      <c r="L209" s="25">
        <v>2.87</v>
      </c>
    </row>
    <row r="210" spans="1:12" ht="15.75" thickBot="1" x14ac:dyDescent="0.3">
      <c r="A210" s="24">
        <v>0.3833333333333333</v>
      </c>
      <c r="B210" s="23">
        <v>55</v>
      </c>
      <c r="C210" s="23">
        <v>30</v>
      </c>
      <c r="D210" s="23">
        <v>42.5</v>
      </c>
      <c r="E210" s="23">
        <v>1.5</v>
      </c>
      <c r="F210" s="23">
        <v>1.093</v>
      </c>
      <c r="G210" s="23">
        <v>3.05</v>
      </c>
      <c r="H210" s="23">
        <v>2.16</v>
      </c>
      <c r="I210" s="31">
        <v>27.98</v>
      </c>
      <c r="K210" s="25">
        <v>52.5</v>
      </c>
      <c r="L210" s="25">
        <v>2.69</v>
      </c>
    </row>
    <row r="211" spans="1:12" ht="15.75" thickBot="1" x14ac:dyDescent="0.3">
      <c r="A211" s="24">
        <v>0.38472222222222219</v>
      </c>
      <c r="B211" s="23">
        <v>57</v>
      </c>
      <c r="C211" s="23">
        <v>32</v>
      </c>
      <c r="D211" s="23">
        <v>44.5</v>
      </c>
      <c r="E211" s="23">
        <v>1.5</v>
      </c>
      <c r="F211" s="23">
        <v>1.093</v>
      </c>
      <c r="G211" s="23">
        <v>3.05</v>
      </c>
      <c r="H211" s="23">
        <v>2.2599999999999998</v>
      </c>
      <c r="I211" s="31">
        <v>30.24</v>
      </c>
      <c r="K211" s="25">
        <v>54.5</v>
      </c>
      <c r="L211" s="25">
        <v>2.69</v>
      </c>
    </row>
    <row r="212" spans="1:12" ht="15.75" thickBot="1" x14ac:dyDescent="0.3">
      <c r="A212" s="24">
        <v>0.38611111111111113</v>
      </c>
      <c r="B212" s="23">
        <v>59</v>
      </c>
      <c r="C212" s="23">
        <v>34</v>
      </c>
      <c r="D212" s="23">
        <v>46.5</v>
      </c>
      <c r="E212" s="23">
        <v>1.5</v>
      </c>
      <c r="F212" s="23">
        <v>1.117</v>
      </c>
      <c r="G212" s="23">
        <v>2.87</v>
      </c>
      <c r="H212" s="23">
        <v>2.2200000000000002</v>
      </c>
      <c r="I212" s="31">
        <v>32.47</v>
      </c>
      <c r="K212" s="25">
        <v>56.5</v>
      </c>
      <c r="L212" s="25">
        <v>2.5099999999999998</v>
      </c>
    </row>
    <row r="213" spans="1:12" ht="15.75" thickBot="1" x14ac:dyDescent="0.3">
      <c r="A213" s="24">
        <v>0.38750000000000001</v>
      </c>
      <c r="B213" s="23">
        <v>61</v>
      </c>
      <c r="C213" s="23">
        <v>36</v>
      </c>
      <c r="D213" s="23">
        <v>48.5</v>
      </c>
      <c r="E213" s="23">
        <v>1.5</v>
      </c>
      <c r="F213" s="23">
        <v>1.117</v>
      </c>
      <c r="G213" s="23">
        <v>2.87</v>
      </c>
      <c r="H213" s="23">
        <v>2.3199999999999998</v>
      </c>
      <c r="I213" s="31">
        <v>34.79</v>
      </c>
      <c r="K213" s="25">
        <v>58.5</v>
      </c>
      <c r="L213" s="25">
        <v>2.5099999999999998</v>
      </c>
    </row>
    <row r="214" spans="1:12" ht="15.75" thickBot="1" x14ac:dyDescent="0.3">
      <c r="A214" s="24">
        <v>0.3888888888888889</v>
      </c>
      <c r="B214" s="23">
        <v>63</v>
      </c>
      <c r="C214" s="23">
        <v>38</v>
      </c>
      <c r="D214" s="23">
        <v>50.5</v>
      </c>
      <c r="E214" s="23">
        <v>1.5</v>
      </c>
      <c r="F214" s="23">
        <v>1.117</v>
      </c>
      <c r="G214" s="23">
        <v>2.87</v>
      </c>
      <c r="H214" s="23">
        <v>2.42</v>
      </c>
      <c r="I214" s="31">
        <v>37.200000000000003</v>
      </c>
      <c r="K214" s="25">
        <v>60.5</v>
      </c>
      <c r="L214" s="25">
        <v>2.5099999999999998</v>
      </c>
    </row>
    <row r="215" spans="1:12" ht="15.75" thickBot="1" x14ac:dyDescent="0.3">
      <c r="A215" s="24">
        <v>0.39027777777777778</v>
      </c>
      <c r="B215" s="23">
        <v>65</v>
      </c>
      <c r="C215" s="23">
        <v>40</v>
      </c>
      <c r="D215" s="23">
        <v>52.5</v>
      </c>
      <c r="E215" s="23">
        <v>1.5</v>
      </c>
      <c r="F215" s="23">
        <v>1.141</v>
      </c>
      <c r="G215" s="23">
        <v>2.69</v>
      </c>
      <c r="H215" s="23">
        <v>2.35</v>
      </c>
      <c r="I215" s="31">
        <v>39.549999999999997</v>
      </c>
      <c r="K215" s="25">
        <v>62.5</v>
      </c>
      <c r="L215" s="25">
        <v>2.3199999999999998</v>
      </c>
    </row>
    <row r="216" spans="1:12" ht="15.75" thickBot="1" x14ac:dyDescent="0.3">
      <c r="A216" s="24">
        <v>0.39166666666666666</v>
      </c>
      <c r="B216" s="23">
        <v>67</v>
      </c>
      <c r="C216" s="23">
        <v>42</v>
      </c>
      <c r="D216" s="23">
        <v>54.5</v>
      </c>
      <c r="E216" s="23">
        <v>1.5</v>
      </c>
      <c r="F216" s="23">
        <v>1.141</v>
      </c>
      <c r="G216" s="23">
        <v>2.69</v>
      </c>
      <c r="H216" s="23">
        <v>2.44</v>
      </c>
      <c r="I216" s="31">
        <v>42</v>
      </c>
      <c r="K216" s="25">
        <v>64.5</v>
      </c>
      <c r="L216" s="25">
        <v>2.3199999999999998</v>
      </c>
    </row>
    <row r="217" spans="1:12" ht="15.75" thickBot="1" x14ac:dyDescent="0.3">
      <c r="A217" s="24">
        <v>0.39305555555555555</v>
      </c>
      <c r="B217" s="23">
        <v>69</v>
      </c>
      <c r="C217" s="23">
        <v>44</v>
      </c>
      <c r="D217" s="23">
        <v>56.5</v>
      </c>
      <c r="E217" s="23">
        <v>1.5</v>
      </c>
      <c r="F217" s="23">
        <v>1.165</v>
      </c>
      <c r="G217" s="23">
        <v>2.5099999999999998</v>
      </c>
      <c r="H217" s="23">
        <v>2.36</v>
      </c>
      <c r="I217" s="31">
        <v>44.36</v>
      </c>
      <c r="K217" s="25">
        <v>66.5</v>
      </c>
      <c r="L217" s="25">
        <v>2.3199999999999998</v>
      </c>
    </row>
    <row r="218" spans="1:12" ht="15.75" thickBot="1" x14ac:dyDescent="0.3">
      <c r="A218" s="24">
        <v>0.39444444444444443</v>
      </c>
      <c r="B218" s="23">
        <v>71</v>
      </c>
      <c r="C218" s="23">
        <v>46</v>
      </c>
      <c r="D218" s="23">
        <v>58.5</v>
      </c>
      <c r="E218" s="23">
        <v>1.5</v>
      </c>
      <c r="F218" s="23">
        <v>1.165</v>
      </c>
      <c r="G218" s="23">
        <v>2.5099999999999998</v>
      </c>
      <c r="H218" s="23">
        <v>2.4500000000000002</v>
      </c>
      <c r="I218" s="31">
        <v>46.81</v>
      </c>
      <c r="K218" s="25">
        <v>68.5</v>
      </c>
      <c r="L218" s="25">
        <v>2.14</v>
      </c>
    </row>
    <row r="219" spans="1:12" ht="15.75" thickBot="1" x14ac:dyDescent="0.3">
      <c r="A219" s="24">
        <v>0.39583333333333331</v>
      </c>
      <c r="B219" s="23">
        <v>73</v>
      </c>
      <c r="C219" s="23">
        <v>48</v>
      </c>
      <c r="D219" s="23">
        <v>60.5</v>
      </c>
      <c r="E219" s="23">
        <v>1.5</v>
      </c>
      <c r="F219" s="23">
        <v>1.165</v>
      </c>
      <c r="G219" s="23">
        <v>2.5099999999999998</v>
      </c>
      <c r="H219" s="23">
        <v>2.5299999999999998</v>
      </c>
      <c r="I219" s="31">
        <v>49.34</v>
      </c>
      <c r="K219" s="25">
        <v>70.5</v>
      </c>
      <c r="L219" s="25">
        <v>2.14</v>
      </c>
    </row>
    <row r="220" spans="1:12" ht="15.75" thickBot="1" x14ac:dyDescent="0.3">
      <c r="A220" s="24">
        <v>0.3972222222222222</v>
      </c>
      <c r="B220" s="23">
        <v>75</v>
      </c>
      <c r="C220" s="23">
        <v>50</v>
      </c>
      <c r="D220" s="23">
        <v>62.5</v>
      </c>
      <c r="E220" s="23">
        <v>1.5</v>
      </c>
      <c r="F220" s="23">
        <v>1.19</v>
      </c>
      <c r="G220" s="23">
        <v>2.3199999999999998</v>
      </c>
      <c r="H220" s="23">
        <v>2.42</v>
      </c>
      <c r="I220" s="31">
        <v>51.76</v>
      </c>
      <c r="K220" s="25">
        <v>72.5</v>
      </c>
      <c r="L220" s="25">
        <v>2.14</v>
      </c>
    </row>
    <row r="221" spans="1:12" ht="15.75" thickBot="1" x14ac:dyDescent="0.3">
      <c r="A221" s="24">
        <v>0.39861111111111108</v>
      </c>
      <c r="B221" s="23">
        <v>77</v>
      </c>
      <c r="C221" s="23">
        <v>52</v>
      </c>
      <c r="D221" s="23">
        <v>64.5</v>
      </c>
      <c r="E221" s="23">
        <v>1.5</v>
      </c>
      <c r="F221" s="23">
        <v>1.19</v>
      </c>
      <c r="G221" s="23">
        <v>2.3199999999999998</v>
      </c>
      <c r="H221" s="23">
        <v>2.4900000000000002</v>
      </c>
      <c r="I221" s="31">
        <v>54.25</v>
      </c>
      <c r="K221" s="25">
        <v>74.5</v>
      </c>
      <c r="L221" s="25">
        <v>1.96</v>
      </c>
    </row>
    <row r="222" spans="1:12" ht="15.75" thickBot="1" x14ac:dyDescent="0.3">
      <c r="A222" s="24">
        <v>0.39999999999999997</v>
      </c>
      <c r="B222" s="23">
        <v>79</v>
      </c>
      <c r="C222" s="23">
        <v>54</v>
      </c>
      <c r="D222" s="23">
        <v>66.5</v>
      </c>
      <c r="E222" s="23">
        <v>1.5</v>
      </c>
      <c r="F222" s="23">
        <v>1.19</v>
      </c>
      <c r="G222" s="23">
        <v>2.3199999999999998</v>
      </c>
      <c r="H222" s="23">
        <v>2.57</v>
      </c>
      <c r="I222" s="31">
        <v>56.82</v>
      </c>
      <c r="K222" s="25">
        <v>76.5</v>
      </c>
      <c r="L222" s="25">
        <v>1.96</v>
      </c>
    </row>
    <row r="223" spans="1:12" ht="15.75" thickBot="1" x14ac:dyDescent="0.3">
      <c r="A223" s="24">
        <v>0.40138888888888885</v>
      </c>
      <c r="B223" s="23">
        <v>81</v>
      </c>
      <c r="C223" s="23">
        <v>56</v>
      </c>
      <c r="D223" s="23">
        <v>68.5</v>
      </c>
      <c r="E223" s="23">
        <v>1.5</v>
      </c>
      <c r="F223" s="23">
        <v>1.2150000000000001</v>
      </c>
      <c r="G223" s="23">
        <v>2.14</v>
      </c>
      <c r="H223" s="23">
        <v>2.44</v>
      </c>
      <c r="I223" s="31">
        <v>59.27</v>
      </c>
      <c r="K223" s="25">
        <v>78.5</v>
      </c>
      <c r="L223" s="25">
        <v>1.96</v>
      </c>
    </row>
    <row r="224" spans="1:12" ht="15.75" thickBot="1" x14ac:dyDescent="0.3">
      <c r="A224" s="24">
        <v>0.40277777777777773</v>
      </c>
      <c r="B224" s="23">
        <v>83</v>
      </c>
      <c r="C224" s="23">
        <v>58</v>
      </c>
      <c r="D224" s="23">
        <v>70.5</v>
      </c>
      <c r="E224" s="23">
        <v>1.5</v>
      </c>
      <c r="F224" s="23">
        <v>1.2150000000000001</v>
      </c>
      <c r="G224" s="23">
        <v>2.14</v>
      </c>
      <c r="H224" s="23">
        <v>2.5099999999999998</v>
      </c>
      <c r="I224" s="31">
        <v>61.78</v>
      </c>
      <c r="K224" s="25">
        <v>80.5</v>
      </c>
      <c r="L224" s="25">
        <v>1.96</v>
      </c>
    </row>
    <row r="225" spans="1:15" ht="15.75" thickBot="1" x14ac:dyDescent="0.3">
      <c r="A225" s="24">
        <v>0.40416666666666662</v>
      </c>
      <c r="B225" s="23">
        <v>85</v>
      </c>
      <c r="C225" s="23">
        <v>60</v>
      </c>
      <c r="D225" s="23">
        <v>72.5</v>
      </c>
      <c r="E225" s="23">
        <v>1.5</v>
      </c>
      <c r="F225" s="23">
        <v>1.2150000000000001</v>
      </c>
      <c r="G225" s="23">
        <v>2.14</v>
      </c>
      <c r="H225" s="23">
        <v>2.59</v>
      </c>
      <c r="I225" s="31">
        <v>64.37</v>
      </c>
      <c r="K225" s="25">
        <v>82.5</v>
      </c>
      <c r="L225" s="25">
        <v>1.96</v>
      </c>
    </row>
    <row r="226" spans="1:15" ht="15.75" thickBot="1" x14ac:dyDescent="0.3">
      <c r="A226" s="24">
        <v>0.4055555555555555</v>
      </c>
      <c r="B226" s="23">
        <v>87</v>
      </c>
      <c r="C226" s="23">
        <v>62</v>
      </c>
      <c r="D226" s="23">
        <v>74.5</v>
      </c>
      <c r="E226" s="23">
        <v>1.5</v>
      </c>
      <c r="F226" s="23">
        <v>1.2390000000000001</v>
      </c>
      <c r="G226" s="23">
        <v>1.96</v>
      </c>
      <c r="H226" s="23">
        <v>2.4300000000000002</v>
      </c>
      <c r="I226" s="31">
        <v>66.8</v>
      </c>
      <c r="K226" s="25">
        <v>84.5</v>
      </c>
      <c r="L226" s="25">
        <v>1.96</v>
      </c>
    </row>
    <row r="227" spans="1:15" ht="15.75" thickBot="1" x14ac:dyDescent="0.3">
      <c r="A227" s="24">
        <v>0.4069444444444445</v>
      </c>
      <c r="B227" s="23">
        <v>89</v>
      </c>
      <c r="C227" s="23">
        <v>64</v>
      </c>
      <c r="D227" s="23">
        <v>76.5</v>
      </c>
      <c r="E227" s="23">
        <v>1.5</v>
      </c>
      <c r="F227" s="23">
        <v>1.2390000000000001</v>
      </c>
      <c r="G227" s="23">
        <v>1.96</v>
      </c>
      <c r="H227" s="23">
        <v>2.5</v>
      </c>
      <c r="I227" s="31">
        <v>69.3</v>
      </c>
      <c r="K227" s="25">
        <v>86.5</v>
      </c>
      <c r="L227" s="25">
        <v>1.96</v>
      </c>
    </row>
    <row r="228" spans="1:15" ht="15.75" thickBot="1" x14ac:dyDescent="0.3">
      <c r="A228" s="24">
        <v>0.40833333333333338</v>
      </c>
      <c r="B228" s="23">
        <v>91</v>
      </c>
      <c r="C228" s="23">
        <v>66</v>
      </c>
      <c r="D228" s="23">
        <v>78.5</v>
      </c>
      <c r="E228" s="23">
        <v>1.5</v>
      </c>
      <c r="F228" s="23">
        <v>1.2390000000000001</v>
      </c>
      <c r="G228" s="23">
        <v>1.96</v>
      </c>
      <c r="H228" s="23">
        <v>2.56</v>
      </c>
      <c r="I228" s="31">
        <v>71.86</v>
      </c>
      <c r="K228" s="25">
        <v>88.5</v>
      </c>
      <c r="L228" s="25">
        <v>1.77</v>
      </c>
    </row>
    <row r="229" spans="1:15" ht="15.75" thickBot="1" x14ac:dyDescent="0.3">
      <c r="A229" s="24">
        <v>0.40972222222222227</v>
      </c>
      <c r="B229" s="23">
        <v>93</v>
      </c>
      <c r="C229" s="23">
        <v>68</v>
      </c>
      <c r="D229" s="23">
        <v>80.5</v>
      </c>
      <c r="E229" s="23">
        <v>1.5</v>
      </c>
      <c r="F229" s="23">
        <v>1.2390000000000001</v>
      </c>
      <c r="G229" s="23">
        <v>1.96</v>
      </c>
      <c r="H229" s="23">
        <v>2.63</v>
      </c>
      <c r="I229" s="31">
        <v>74.489999999999995</v>
      </c>
      <c r="K229" s="25">
        <v>90.5</v>
      </c>
      <c r="L229" s="25">
        <v>1.77</v>
      </c>
    </row>
    <row r="230" spans="1:15" ht="15.75" thickBot="1" x14ac:dyDescent="0.3">
      <c r="A230" s="24">
        <v>0.41111111111111115</v>
      </c>
      <c r="B230" s="23">
        <v>95</v>
      </c>
      <c r="C230" s="23">
        <v>70</v>
      </c>
      <c r="D230" s="23">
        <v>82.5</v>
      </c>
      <c r="E230" s="23">
        <v>1.5</v>
      </c>
      <c r="F230" s="23">
        <v>1.2390000000000001</v>
      </c>
      <c r="G230" s="23">
        <v>1.96</v>
      </c>
      <c r="H230" s="23">
        <v>2.7</v>
      </c>
      <c r="I230" s="31">
        <v>77.19</v>
      </c>
      <c r="K230" s="25">
        <v>100.5</v>
      </c>
      <c r="L230" s="25">
        <v>1.77</v>
      </c>
    </row>
    <row r="231" spans="1:15" ht="15.75" thickBot="1" x14ac:dyDescent="0.3">
      <c r="A231" s="24">
        <v>0.41250000000000003</v>
      </c>
      <c r="B231" s="23">
        <v>97</v>
      </c>
      <c r="C231" s="23">
        <v>72</v>
      </c>
      <c r="D231" s="23">
        <v>84.5</v>
      </c>
      <c r="E231" s="23">
        <v>1.5</v>
      </c>
      <c r="F231" s="23">
        <v>1.2390000000000001</v>
      </c>
      <c r="G231" s="23">
        <v>1.96</v>
      </c>
      <c r="H231" s="23">
        <v>2.76</v>
      </c>
      <c r="I231" s="31">
        <v>79.95</v>
      </c>
      <c r="K231" s="25">
        <v>105.5</v>
      </c>
      <c r="L231" s="25">
        <v>1.77</v>
      </c>
    </row>
    <row r="232" spans="1:15" ht="15.75" thickBot="1" x14ac:dyDescent="0.3">
      <c r="A232" s="24">
        <v>0.41388888888888892</v>
      </c>
      <c r="B232" s="23">
        <v>99</v>
      </c>
      <c r="C232" s="23">
        <v>74</v>
      </c>
      <c r="D232" s="23">
        <v>86.5</v>
      </c>
      <c r="E232" s="23">
        <v>1.5</v>
      </c>
      <c r="F232" s="23">
        <v>1.2390000000000001</v>
      </c>
      <c r="G232" s="23">
        <v>1.96</v>
      </c>
      <c r="H232" s="23">
        <v>2.83</v>
      </c>
      <c r="I232" s="31">
        <v>82.77</v>
      </c>
      <c r="K232" s="25">
        <v>110.5</v>
      </c>
      <c r="L232" s="25">
        <v>1.77</v>
      </c>
    </row>
    <row r="233" spans="1:15" ht="15.75" thickBot="1" x14ac:dyDescent="0.3">
      <c r="A233" s="24">
        <v>0.4152777777777778</v>
      </c>
      <c r="B233" s="23">
        <v>101</v>
      </c>
      <c r="C233" s="23">
        <v>76</v>
      </c>
      <c r="D233" s="23">
        <v>88.5</v>
      </c>
      <c r="E233" s="23">
        <v>1.5</v>
      </c>
      <c r="F233" s="23">
        <v>1.264</v>
      </c>
      <c r="G233" s="23">
        <v>1.77</v>
      </c>
      <c r="H233" s="23">
        <v>2.61</v>
      </c>
      <c r="I233" s="31">
        <v>85.38</v>
      </c>
      <c r="K233" s="25">
        <v>115.5</v>
      </c>
      <c r="L233" s="25">
        <v>1.57</v>
      </c>
    </row>
    <row r="234" spans="1:15" ht="15.75" thickBot="1" x14ac:dyDescent="0.3">
      <c r="A234" s="24">
        <v>0.41666666666666669</v>
      </c>
      <c r="B234" s="23">
        <v>103</v>
      </c>
      <c r="C234" s="23">
        <v>78</v>
      </c>
      <c r="D234" s="23">
        <v>90.5</v>
      </c>
      <c r="E234" s="23">
        <v>1.5</v>
      </c>
      <c r="F234" s="23">
        <v>1.264</v>
      </c>
      <c r="G234" s="23">
        <v>1.77</v>
      </c>
      <c r="H234" s="23">
        <v>2.67</v>
      </c>
      <c r="I234" s="31">
        <v>88.05</v>
      </c>
      <c r="K234" s="25">
        <v>120.5</v>
      </c>
      <c r="L234" s="25">
        <v>1.57</v>
      </c>
    </row>
    <row r="235" spans="1:15" ht="15.75" thickBot="1" x14ac:dyDescent="0.3">
      <c r="A235" s="24">
        <v>0.4236111111111111</v>
      </c>
      <c r="B235" s="23">
        <v>113</v>
      </c>
      <c r="C235" s="23">
        <v>88</v>
      </c>
      <c r="D235" s="23">
        <v>100.5</v>
      </c>
      <c r="E235" s="23">
        <v>1.5</v>
      </c>
      <c r="F235" s="23">
        <v>1.264</v>
      </c>
      <c r="G235" s="23">
        <v>1.77</v>
      </c>
      <c r="H235" s="23">
        <v>2.96</v>
      </c>
      <c r="I235" s="31">
        <v>91.02</v>
      </c>
      <c r="K235" s="25">
        <v>125.5</v>
      </c>
      <c r="L235" s="25">
        <v>1.57</v>
      </c>
    </row>
    <row r="236" spans="1:15" ht="15.75" thickBot="1" x14ac:dyDescent="0.3">
      <c r="A236" s="24">
        <v>0.42708333333333331</v>
      </c>
      <c r="B236" s="23">
        <v>118</v>
      </c>
      <c r="C236" s="23">
        <v>93</v>
      </c>
      <c r="D236" s="23">
        <v>105.5</v>
      </c>
      <c r="E236" s="23">
        <v>1.5</v>
      </c>
      <c r="F236" s="23">
        <v>1.264</v>
      </c>
      <c r="G236" s="23">
        <v>1.77</v>
      </c>
      <c r="H236" s="23">
        <v>3.11</v>
      </c>
      <c r="I236" s="31">
        <v>94.13</v>
      </c>
      <c r="K236" s="25">
        <v>130.5</v>
      </c>
      <c r="L236" s="25">
        <v>1.57</v>
      </c>
    </row>
    <row r="237" spans="1:15" ht="15.75" thickBot="1" x14ac:dyDescent="0.3">
      <c r="A237" s="24">
        <v>0.43055555555555558</v>
      </c>
      <c r="B237" s="23">
        <v>123</v>
      </c>
      <c r="C237" s="23">
        <v>98</v>
      </c>
      <c r="D237" s="23">
        <v>110.5</v>
      </c>
      <c r="E237" s="23">
        <v>1.5</v>
      </c>
      <c r="F237" s="23">
        <v>1.264</v>
      </c>
      <c r="G237" s="23">
        <v>1.77</v>
      </c>
      <c r="H237" s="23">
        <v>3.26</v>
      </c>
      <c r="I237" s="31">
        <v>97.39</v>
      </c>
      <c r="K237" s="44">
        <v>135.5</v>
      </c>
      <c r="L237" s="25">
        <v>1.57</v>
      </c>
    </row>
    <row r="238" spans="1:15" ht="15.75" thickBot="1" x14ac:dyDescent="0.3">
      <c r="A238" s="24">
        <v>0.43402777777777773</v>
      </c>
      <c r="B238" s="23">
        <v>128</v>
      </c>
      <c r="C238" s="23">
        <v>103</v>
      </c>
      <c r="D238" s="23">
        <v>115.5</v>
      </c>
      <c r="E238" s="23">
        <v>1.5</v>
      </c>
      <c r="F238" s="23">
        <v>1.29</v>
      </c>
      <c r="G238" s="23">
        <v>1.57</v>
      </c>
      <c r="H238" s="23">
        <v>3.02</v>
      </c>
      <c r="I238" s="31">
        <v>100.41</v>
      </c>
      <c r="L238" s="30">
        <f>SUM(L191:L237)</f>
        <v>135.7999999999999</v>
      </c>
      <c r="M238">
        <v>47</v>
      </c>
      <c r="N238" s="30">
        <f>+L238/M238</f>
        <v>2.8893617021276574</v>
      </c>
      <c r="O238" t="s">
        <v>9</v>
      </c>
    </row>
    <row r="239" spans="1:15" ht="15.75" thickBot="1" x14ac:dyDescent="0.3">
      <c r="A239" s="24">
        <v>0.4375</v>
      </c>
      <c r="B239" s="23">
        <v>133</v>
      </c>
      <c r="C239" s="23">
        <v>108</v>
      </c>
      <c r="D239" s="23">
        <v>120.5</v>
      </c>
      <c r="E239" s="23">
        <v>1.5</v>
      </c>
      <c r="F239" s="23">
        <v>1.29</v>
      </c>
      <c r="G239" s="23">
        <v>1.57</v>
      </c>
      <c r="H239" s="23">
        <v>3.15</v>
      </c>
      <c r="I239" s="31">
        <v>103.57</v>
      </c>
    </row>
    <row r="240" spans="1:15" ht="15.75" thickBot="1" x14ac:dyDescent="0.3">
      <c r="A240" s="24">
        <v>0.44097222222222227</v>
      </c>
      <c r="B240" s="23">
        <v>138</v>
      </c>
      <c r="C240" s="23">
        <v>113</v>
      </c>
      <c r="D240" s="23">
        <v>125.5</v>
      </c>
      <c r="E240" s="23">
        <v>1.5</v>
      </c>
      <c r="F240" s="23">
        <v>1.29</v>
      </c>
      <c r="G240" s="23">
        <v>1.57</v>
      </c>
      <c r="H240" s="23">
        <v>3.28</v>
      </c>
      <c r="I240" s="31">
        <v>106.85</v>
      </c>
    </row>
    <row r="241" spans="1:11" ht="15.75" thickBot="1" x14ac:dyDescent="0.3">
      <c r="A241" s="24">
        <v>0.44444444444444442</v>
      </c>
      <c r="B241" s="23">
        <v>143</v>
      </c>
      <c r="C241" s="23">
        <v>118</v>
      </c>
      <c r="D241" s="23">
        <v>130.5</v>
      </c>
      <c r="E241" s="23">
        <v>1.5</v>
      </c>
      <c r="F241" s="23">
        <v>1.29</v>
      </c>
      <c r="G241" s="23">
        <v>1.57</v>
      </c>
      <c r="H241" s="23">
        <v>3.41</v>
      </c>
      <c r="I241" s="31">
        <v>110.26</v>
      </c>
    </row>
    <row r="242" spans="1:11" ht="15.75" thickBot="1" x14ac:dyDescent="0.3">
      <c r="A242" s="24">
        <v>0.44791666666666669</v>
      </c>
      <c r="B242" s="23">
        <v>148</v>
      </c>
      <c r="C242" s="23">
        <v>123</v>
      </c>
      <c r="D242" s="23">
        <v>135.5</v>
      </c>
      <c r="E242" s="23">
        <v>1.5</v>
      </c>
      <c r="F242" s="23">
        <v>1.29</v>
      </c>
      <c r="G242" s="23">
        <v>1.57</v>
      </c>
      <c r="H242" s="23">
        <v>3.55</v>
      </c>
      <c r="I242" s="31">
        <v>113.81</v>
      </c>
      <c r="J242">
        <f>113.81/135.5</f>
        <v>0.83992619926199263</v>
      </c>
      <c r="K242" t="s">
        <v>15</v>
      </c>
    </row>
    <row r="243" spans="1:11" x14ac:dyDescent="0.25">
      <c r="J243">
        <f>+J242*60</f>
        <v>50.395571955719561</v>
      </c>
      <c r="K243" t="s">
        <v>9</v>
      </c>
    </row>
    <row r="265" spans="1:9" ht="15.75" x14ac:dyDescent="0.25">
      <c r="A265" s="2" t="s">
        <v>101</v>
      </c>
    </row>
    <row r="267" spans="1:9" ht="15.75" x14ac:dyDescent="0.25">
      <c r="A267" s="29" t="s">
        <v>102</v>
      </c>
    </row>
    <row r="270" spans="1:9" x14ac:dyDescent="0.25">
      <c r="D270">
        <f>+E270*60</f>
        <v>18.779999999999998</v>
      </c>
      <c r="E270">
        <f>+-0.687+1</f>
        <v>0.31299999999999994</v>
      </c>
      <c r="F270">
        <f>+(-0.687+1)*60</f>
        <v>18.779999999999998</v>
      </c>
      <c r="G270">
        <f>40.173/F270</f>
        <v>2.1391373801916935</v>
      </c>
      <c r="H270">
        <f>+E270*60</f>
        <v>18.779999999999998</v>
      </c>
      <c r="I270" s="33">
        <f>40.713/H270</f>
        <v>2.1678913738019174</v>
      </c>
    </row>
    <row r="273" spans="1:9" ht="15.75" x14ac:dyDescent="0.25">
      <c r="A273" s="2" t="s">
        <v>137</v>
      </c>
    </row>
    <row r="275" spans="1:9" ht="15.75" x14ac:dyDescent="0.25">
      <c r="A275" s="1"/>
      <c r="B275" s="1"/>
      <c r="C275" s="1"/>
      <c r="D275" s="1"/>
      <c r="E275" s="1"/>
      <c r="F275" s="1"/>
      <c r="G275" s="1" t="s">
        <v>103</v>
      </c>
      <c r="H275" s="1"/>
      <c r="I275" s="1"/>
    </row>
    <row r="276" spans="1:9" ht="15.75" x14ac:dyDescent="0.25">
      <c r="A276" s="5" t="s">
        <v>104</v>
      </c>
      <c r="B276" s="5" t="s">
        <v>105</v>
      </c>
      <c r="C276" s="5" t="s">
        <v>12</v>
      </c>
      <c r="D276" s="5" t="s">
        <v>106</v>
      </c>
      <c r="E276" s="5" t="s">
        <v>107</v>
      </c>
      <c r="F276" s="1"/>
      <c r="G276" s="5" t="s">
        <v>12</v>
      </c>
      <c r="H276" s="5" t="s">
        <v>107</v>
      </c>
      <c r="I276" s="1"/>
    </row>
    <row r="277" spans="1:9" ht="15.75" x14ac:dyDescent="0.25">
      <c r="A277" s="1">
        <v>2.1680000000000001</v>
      </c>
      <c r="B277" s="1">
        <v>0.313</v>
      </c>
      <c r="C277" s="1">
        <v>1</v>
      </c>
      <c r="D277" s="1">
        <f>POWER(C277,B277)</f>
        <v>1</v>
      </c>
      <c r="E277" s="13">
        <f>+A277*D277</f>
        <v>2.1680000000000001</v>
      </c>
      <c r="F277" s="1"/>
      <c r="G277" s="1">
        <v>1</v>
      </c>
      <c r="H277" s="13">
        <v>2.1680000000000001</v>
      </c>
      <c r="I277" s="1"/>
    </row>
    <row r="278" spans="1:9" ht="15.75" x14ac:dyDescent="0.25">
      <c r="A278" s="1">
        <v>2.1680000000000001</v>
      </c>
      <c r="B278" s="1">
        <v>0.313</v>
      </c>
      <c r="C278" s="1">
        <v>10</v>
      </c>
      <c r="D278" s="1">
        <f t="shared" ref="D278:D284" si="11">POWER(C278,B278)</f>
        <v>2.0558905959841418</v>
      </c>
      <c r="E278" s="13">
        <f t="shared" ref="E278:E284" si="12">+A278*D278</f>
        <v>4.4571708120936195</v>
      </c>
      <c r="F278" s="1"/>
      <c r="G278" s="1">
        <v>10</v>
      </c>
      <c r="H278" s="13">
        <v>4.4571708120936195</v>
      </c>
      <c r="I278" s="1"/>
    </row>
    <row r="279" spans="1:9" ht="15.75" x14ac:dyDescent="0.25">
      <c r="A279" s="1">
        <v>2.1680000000000001</v>
      </c>
      <c r="B279" s="1">
        <v>0.313</v>
      </c>
      <c r="C279" s="1">
        <v>30</v>
      </c>
      <c r="D279" s="1">
        <f t="shared" si="11"/>
        <v>2.8996057528575405</v>
      </c>
      <c r="E279" s="13">
        <f t="shared" si="12"/>
        <v>6.286345272195148</v>
      </c>
      <c r="F279" s="1"/>
      <c r="G279" s="1">
        <v>30</v>
      </c>
      <c r="H279" s="13">
        <v>6.286345272195148</v>
      </c>
      <c r="I279" s="1"/>
    </row>
    <row r="280" spans="1:9" ht="15.75" x14ac:dyDescent="0.25">
      <c r="A280" s="1">
        <v>2.1680000000000001</v>
      </c>
      <c r="B280" s="1">
        <v>0.313</v>
      </c>
      <c r="C280" s="1">
        <v>50</v>
      </c>
      <c r="D280" s="1">
        <f t="shared" si="11"/>
        <v>3.4023392191905417</v>
      </c>
      <c r="E280" s="13">
        <f t="shared" si="12"/>
        <v>7.3762714272050953</v>
      </c>
      <c r="F280" s="1"/>
      <c r="G280" s="1">
        <v>50</v>
      </c>
      <c r="H280" s="13">
        <v>7.3762714272050953</v>
      </c>
      <c r="I280" s="1"/>
    </row>
    <row r="281" spans="1:9" ht="15.75" x14ac:dyDescent="0.25">
      <c r="A281" s="1">
        <v>2.1680000000000001</v>
      </c>
      <c r="B281" s="1">
        <v>0.313</v>
      </c>
      <c r="C281" s="1">
        <v>75</v>
      </c>
      <c r="D281" s="1">
        <f t="shared" si="11"/>
        <v>3.8627284246256095</v>
      </c>
      <c r="E281" s="13">
        <f t="shared" si="12"/>
        <v>8.3743952245883229</v>
      </c>
      <c r="F281" s="1"/>
      <c r="G281" s="1">
        <v>75</v>
      </c>
      <c r="H281" s="13">
        <v>8.3743952245883229</v>
      </c>
      <c r="I281" s="1"/>
    </row>
    <row r="282" spans="1:9" ht="15.75" x14ac:dyDescent="0.25">
      <c r="A282" s="1">
        <v>2.1680000000000001</v>
      </c>
      <c r="B282" s="1">
        <v>0.313</v>
      </c>
      <c r="C282" s="1">
        <v>100</v>
      </c>
      <c r="D282" s="1">
        <f t="shared" si="11"/>
        <v>4.22668614265603</v>
      </c>
      <c r="E282" s="13">
        <f t="shared" si="12"/>
        <v>9.1634555572782741</v>
      </c>
      <c r="F282" s="1"/>
      <c r="G282" s="1">
        <v>100</v>
      </c>
      <c r="H282" s="13">
        <v>9.1634555572782741</v>
      </c>
      <c r="I282" s="1"/>
    </row>
    <row r="283" spans="1:9" ht="15.75" x14ac:dyDescent="0.25">
      <c r="A283" s="1">
        <v>2.1680000000000001</v>
      </c>
      <c r="B283" s="1">
        <v>0.313</v>
      </c>
      <c r="C283" s="1">
        <v>120</v>
      </c>
      <c r="D283" s="1">
        <f t="shared" si="11"/>
        <v>4.4749040738718797</v>
      </c>
      <c r="E283" s="13">
        <f t="shared" si="12"/>
        <v>9.7015920321542364</v>
      </c>
      <c r="F283" s="1"/>
      <c r="G283" s="1">
        <v>120</v>
      </c>
      <c r="H283" s="13">
        <v>9.7015920321542364</v>
      </c>
      <c r="I283" s="1"/>
    </row>
    <row r="284" spans="1:9" ht="15.75" x14ac:dyDescent="0.25">
      <c r="A284" s="1">
        <v>2.1680000000000001</v>
      </c>
      <c r="B284" s="1">
        <v>0.313</v>
      </c>
      <c r="C284" s="1">
        <v>135.5</v>
      </c>
      <c r="D284" s="1">
        <f t="shared" si="11"/>
        <v>4.6483305025398263</v>
      </c>
      <c r="E284" s="13">
        <f t="shared" si="12"/>
        <v>10.077580529506344</v>
      </c>
      <c r="F284" s="1"/>
      <c r="G284" s="1">
        <v>135.5</v>
      </c>
      <c r="H284" s="13">
        <v>10.077580529506344</v>
      </c>
      <c r="I284" s="1"/>
    </row>
    <row r="285" spans="1:9" ht="15.75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11" ht="15.75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11" ht="15.75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11" ht="15.75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11" ht="15.75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11" ht="15.75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11" ht="15.75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11" ht="15.75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11" ht="15.75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11" ht="15.75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11" ht="15.75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11" ht="15.75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11" ht="15.75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11" ht="15.75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11" ht="15.75" x14ac:dyDescent="0.25">
      <c r="A302" s="3" t="s">
        <v>112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x14ac:dyDescent="0.25">
      <c r="A304" s="1" t="s">
        <v>113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2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2" ht="15.75" x14ac:dyDescent="0.25">
      <c r="A306" s="1" t="s">
        <v>114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2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2" ht="15.75" x14ac:dyDescent="0.25">
      <c r="A308" s="1"/>
      <c r="B308" s="1"/>
      <c r="C308" s="1" t="s">
        <v>132</v>
      </c>
      <c r="D308" s="1" t="s">
        <v>116</v>
      </c>
      <c r="E308" s="13">
        <f>135.8/47</f>
        <v>2.8893617021276596</v>
      </c>
      <c r="F308" s="13" t="s">
        <v>9</v>
      </c>
      <c r="G308" s="1"/>
      <c r="H308" s="1"/>
      <c r="I308" s="1"/>
      <c r="J308" s="1"/>
      <c r="K308" s="1"/>
    </row>
    <row r="309" spans="1:12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2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2" ht="15.75" x14ac:dyDescent="0.25">
      <c r="A311" s="1" t="s">
        <v>118</v>
      </c>
      <c r="B311" s="1"/>
      <c r="C311" s="1"/>
      <c r="D311" s="1"/>
      <c r="E311" s="1"/>
      <c r="F311" s="1" t="s">
        <v>108</v>
      </c>
      <c r="G311" s="1"/>
      <c r="H311" s="1"/>
      <c r="I311" s="1"/>
      <c r="J311" s="1"/>
      <c r="K311" s="1"/>
    </row>
    <row r="312" spans="1:12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2" ht="15.75" x14ac:dyDescent="0.25">
      <c r="A313" s="1" t="s">
        <v>138</v>
      </c>
      <c r="B313" s="1"/>
      <c r="C313" s="1"/>
      <c r="D313" s="1"/>
      <c r="E313" s="1" t="s">
        <v>133</v>
      </c>
      <c r="F313" s="34"/>
      <c r="G313" s="1">
        <f>POWER(135.5,0.313)</f>
        <v>4.6483305025398263</v>
      </c>
      <c r="H313" s="1">
        <f>+G313*2.168</f>
        <v>10.077580529506344</v>
      </c>
      <c r="I313" s="1">
        <f>+H313/135.5</f>
        <v>7.4373288040637225E-2</v>
      </c>
      <c r="J313" s="45" t="s">
        <v>134</v>
      </c>
      <c r="K313" s="32">
        <f>+I313*60</f>
        <v>4.4623972824382339</v>
      </c>
      <c r="L313" s="15" t="s">
        <v>9</v>
      </c>
    </row>
    <row r="314" spans="1:12" ht="15.75" x14ac:dyDescent="0.25">
      <c r="A314" s="1"/>
      <c r="B314" s="1"/>
      <c r="C314" s="1"/>
      <c r="D314" s="1"/>
      <c r="E314" s="1"/>
      <c r="F314" s="34"/>
      <c r="G314" s="1"/>
      <c r="H314" s="1"/>
      <c r="I314" s="1"/>
      <c r="J314" s="1"/>
      <c r="K314" s="1"/>
    </row>
    <row r="315" spans="1:12" ht="15.75" x14ac:dyDescent="0.25">
      <c r="A315" s="1" t="s">
        <v>135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2" ht="15.75" x14ac:dyDescent="0.25">
      <c r="A316" s="1" t="s">
        <v>139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2" ht="15.75" x14ac:dyDescent="0.25">
      <c r="A317" s="1" t="s">
        <v>136</v>
      </c>
      <c r="B317" s="1"/>
      <c r="C317" s="1"/>
      <c r="D317" s="1">
        <f>POWER(135.5,-0.687)</f>
        <v>3.4305022158965484E-2</v>
      </c>
      <c r="E317" s="1">
        <f>+D317*2.168</f>
        <v>7.437328804063717E-2</v>
      </c>
      <c r="F317" s="32">
        <f>+E317*60</f>
        <v>4.4623972824382303</v>
      </c>
      <c r="G317" s="27" t="s">
        <v>9</v>
      </c>
      <c r="H317" s="1"/>
      <c r="I317" s="1"/>
      <c r="J317" s="1"/>
      <c r="K317" s="1"/>
    </row>
    <row r="318" spans="1:12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2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2" ht="15.75" x14ac:dyDescent="0.25">
      <c r="A320" s="3" t="s">
        <v>122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x14ac:dyDescent="0.25">
      <c r="A322" s="1" t="s">
        <v>123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x14ac:dyDescent="0.25">
      <c r="A324" s="1" t="s">
        <v>124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x14ac:dyDescent="0.25">
      <c r="A326" s="1" t="s">
        <v>125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x14ac:dyDescent="0.25">
      <c r="A328" s="1" t="s">
        <v>126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x14ac:dyDescent="0.25">
      <c r="A330" s="1" t="s">
        <v>127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x14ac:dyDescent="0.25">
      <c r="A332" s="1" t="s">
        <v>130</v>
      </c>
      <c r="B332" s="1"/>
      <c r="C332" s="1"/>
      <c r="D332" s="27">
        <f>+-600*-0.687</f>
        <v>412.20000000000005</v>
      </c>
      <c r="E332" s="27" t="s">
        <v>7</v>
      </c>
      <c r="F332" s="1"/>
      <c r="G332" s="1"/>
      <c r="H332" s="1"/>
      <c r="I332" s="1"/>
      <c r="J332" s="1"/>
      <c r="K332" s="1"/>
    </row>
    <row r="333" spans="1:1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x14ac:dyDescent="0.25">
      <c r="A334" s="1" t="s">
        <v>128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x14ac:dyDescent="0.25">
      <c r="A337" s="1" t="s">
        <v>140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x14ac:dyDescent="0.25">
      <c r="A339" s="1" t="s">
        <v>141</v>
      </c>
      <c r="B339" s="1"/>
      <c r="C339" s="1"/>
      <c r="D339" s="1"/>
      <c r="E339" s="1">
        <f>POWER(D332,-0.687)</f>
        <v>1.5974262347268346E-2</v>
      </c>
      <c r="F339" s="43">
        <f>37.45*E339</f>
        <v>0.59823612490519962</v>
      </c>
      <c r="G339" s="27" t="s">
        <v>9</v>
      </c>
      <c r="H339" s="1"/>
      <c r="I339" s="1"/>
      <c r="J339" s="1"/>
      <c r="K339" s="1"/>
    </row>
    <row r="340" spans="1:11" ht="15.75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11" ht="15.75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11" ht="15.75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11" ht="15.75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11" ht="15.75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11" ht="15.75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11" ht="15.75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11" ht="15.75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11" ht="15.75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11" ht="15.75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11" ht="15.75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11" ht="15.75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11" ht="15.75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 x14ac:dyDescent="0.25">
      <c r="A376" s="1"/>
      <c r="B376" s="1"/>
      <c r="C376" s="1"/>
      <c r="D376" s="1"/>
      <c r="E376" s="1"/>
      <c r="F376" s="1"/>
      <c r="G376" s="1"/>
      <c r="H376" s="1"/>
      <c r="I376" s="1"/>
    </row>
  </sheetData>
  <mergeCells count="1">
    <mergeCell ref="B190:C19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Luciano Calvo</cp:lastModifiedBy>
  <dcterms:created xsi:type="dcterms:W3CDTF">2020-08-16T00:42:06Z</dcterms:created>
  <dcterms:modified xsi:type="dcterms:W3CDTF">2022-08-16T12:24:30Z</dcterms:modified>
</cp:coreProperties>
</file>