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orestal\Desktop\DATA\FORESTAL\NEF PFVI\EXTENSION\INFORMES\2020\TALLER AEF MARZO\ANAL RENT SSP PVI MAR 2020\"/>
    </mc:Choice>
  </mc:AlternateContent>
  <bookViews>
    <workbookView xWindow="0" yWindow="0" windowWidth="28800" windowHeight="11835" tabRatio="777" firstSheet="1" activeTab="9"/>
  </bookViews>
  <sheets>
    <sheet name="CARATULA" sheetId="1" r:id="rId1"/>
    <sheet name="MEMORIA " sheetId="38" r:id="rId2"/>
    <sheet name="compcost" sheetId="2" r:id="rId3"/>
    <sheet name="A1" sheetId="35" r:id="rId4"/>
    <sheet name="A2" sheetId="4" r:id="rId5"/>
    <sheet name="A3" sheetId="5" r:id="rId6"/>
    <sheet name="A4-5" sheetId="6" r:id="rId7"/>
    <sheet name="A6" sheetId="39" r:id="rId8"/>
    <sheet name="A7-15" sheetId="7" r:id="rId9"/>
    <sheet name="EGRESOS" sheetId="36" r:id="rId10"/>
    <sheet name="INGRESOS" sheetId="26" r:id="rId11"/>
    <sheet name="RENTABILIDAD" sheetId="37" r:id="rId12"/>
  </sheets>
  <definedNames>
    <definedName name="_xlnm.Print_Area" localSheetId="0">CARATULA!$A$1:$F$28</definedName>
    <definedName name="_xlnm.Print_Area" localSheetId="2">compcost!$A$1:$G$47</definedName>
    <definedName name="_xlnm.Print_Area" localSheetId="9">EGRESOS!$A$1:$F$19</definedName>
    <definedName name="_xlnm.Print_Area" localSheetId="10">INGRESOS!$A$1:$C$34</definedName>
    <definedName name="_xlnm.Print_Area" localSheetId="11">RENTABILIDAD!$A$1:$D$22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2" l="1"/>
  <c r="B23" i="2"/>
  <c r="A47" i="26" l="1"/>
  <c r="B55" i="26"/>
  <c r="B56" i="26"/>
  <c r="B54" i="26"/>
  <c r="B52" i="26"/>
  <c r="B53" i="26"/>
  <c r="B51" i="26"/>
  <c r="D11" i="36"/>
  <c r="E6" i="39"/>
  <c r="G7" i="39"/>
  <c r="C7" i="39"/>
  <c r="D5" i="39"/>
  <c r="E5" i="39" s="1"/>
  <c r="C5" i="39"/>
  <c r="E14" i="35"/>
  <c r="F32" i="2"/>
  <c r="F31" i="2"/>
  <c r="G32" i="2"/>
  <c r="G31" i="2"/>
  <c r="G24" i="2"/>
  <c r="G6" i="39" s="1"/>
  <c r="G23" i="2"/>
  <c r="G14" i="35" s="1"/>
  <c r="H14" i="35" s="1"/>
  <c r="I8" i="35" s="1"/>
  <c r="C16" i="35"/>
  <c r="G8" i="39" l="1"/>
  <c r="H6" i="39"/>
  <c r="I4" i="39" s="1"/>
  <c r="E8" i="39"/>
  <c r="H7" i="39"/>
  <c r="H5" i="39"/>
  <c r="C8" i="39"/>
  <c r="F30" i="2"/>
  <c r="G6" i="2"/>
  <c r="G7" i="2"/>
  <c r="G8" i="2"/>
  <c r="G9" i="2"/>
  <c r="G10" i="2"/>
  <c r="G11" i="2"/>
  <c r="G12" i="2"/>
  <c r="G13" i="2"/>
  <c r="G14" i="2"/>
  <c r="G5" i="2"/>
  <c r="I8" i="39" l="1"/>
  <c r="D10" i="36" s="1"/>
  <c r="G39" i="2"/>
  <c r="F4" i="37"/>
  <c r="G4" i="37"/>
  <c r="H4" i="37"/>
  <c r="I4" i="37"/>
  <c r="F5" i="37"/>
  <c r="F6" i="37"/>
  <c r="F7" i="37"/>
  <c r="F8" i="37"/>
  <c r="F9" i="37"/>
  <c r="F10" i="37"/>
  <c r="F11" i="37"/>
  <c r="F12" i="37"/>
  <c r="F13" i="37"/>
  <c r="F14" i="37"/>
  <c r="F15" i="37"/>
  <c r="F16" i="37"/>
  <c r="F17" i="37"/>
  <c r="F18" i="37"/>
  <c r="F19" i="37"/>
  <c r="H21" i="37"/>
  <c r="G22" i="37"/>
  <c r="H22" i="37"/>
  <c r="H23" i="37"/>
  <c r="G17" i="2"/>
  <c r="G18" i="2"/>
  <c r="D18" i="26" l="1"/>
  <c r="E18" i="26" s="1"/>
  <c r="C18" i="37" s="1"/>
  <c r="H18" i="37" s="1"/>
  <c r="D19" i="26"/>
  <c r="D17" i="26"/>
  <c r="E17" i="26" s="1"/>
  <c r="C17" i="37" s="1"/>
  <c r="H17" i="37" s="1"/>
  <c r="D15" i="26"/>
  <c r="E15" i="26" s="1"/>
  <c r="D16" i="26"/>
  <c r="E16" i="26" s="1"/>
  <c r="D14" i="26"/>
  <c r="E14" i="26" s="1"/>
  <c r="B49" i="26"/>
  <c r="D12" i="26" s="1"/>
  <c r="B50" i="26"/>
  <c r="D13" i="26" s="1"/>
  <c r="B48" i="26"/>
  <c r="D11" i="26" s="1"/>
  <c r="B44" i="26"/>
  <c r="D10" i="26" s="1"/>
  <c r="B43" i="26"/>
  <c r="D9" i="26" s="1"/>
  <c r="B42" i="26"/>
  <c r="D8" i="26" s="1"/>
  <c r="B41" i="26"/>
  <c r="D7" i="26" s="1"/>
  <c r="B40" i="26"/>
  <c r="D6" i="26" s="1"/>
  <c r="E6" i="26" s="1"/>
  <c r="B39" i="26"/>
  <c r="E12" i="26" l="1"/>
  <c r="E13" i="26"/>
  <c r="E11" i="26"/>
  <c r="D5" i="26"/>
  <c r="C49" i="2"/>
  <c r="F45" i="2"/>
  <c r="B36" i="2" l="1"/>
  <c r="C10" i="35" l="1"/>
  <c r="H10" i="35" s="1"/>
  <c r="B10" i="26"/>
  <c r="E10" i="26" s="1"/>
  <c r="C10" i="37" s="1"/>
  <c r="H10" i="37" s="1"/>
  <c r="C11" i="37"/>
  <c r="H11" i="37" s="1"/>
  <c r="C12" i="37"/>
  <c r="H12" i="37" s="1"/>
  <c r="C13" i="37"/>
  <c r="H13" i="37" s="1"/>
  <c r="C15" i="37"/>
  <c r="H15" i="37" s="1"/>
  <c r="C16" i="37"/>
  <c r="H16" i="37" s="1"/>
  <c r="C14" i="37"/>
  <c r="H14" i="37" s="1"/>
  <c r="G46" i="2"/>
  <c r="C6" i="4"/>
  <c r="C30" i="26"/>
  <c r="C29" i="26"/>
  <c r="C28" i="26" s="1"/>
  <c r="E5" i="26"/>
  <c r="C5" i="37" s="1"/>
  <c r="H5" i="37" s="1"/>
  <c r="B7" i="35"/>
  <c r="B6" i="35"/>
  <c r="C6" i="35" s="1"/>
  <c r="G47" i="2"/>
  <c r="C50" i="2"/>
  <c r="G45" i="2"/>
  <c r="G34" i="2"/>
  <c r="B19" i="35" s="1"/>
  <c r="D11" i="35" s="1"/>
  <c r="D6" i="6"/>
  <c r="G7" i="6"/>
  <c r="G8" i="6" s="1"/>
  <c r="D6" i="5"/>
  <c r="G7" i="5"/>
  <c r="G8" i="5" s="1"/>
  <c r="D5" i="7"/>
  <c r="G6" i="7"/>
  <c r="G7" i="7" s="1"/>
  <c r="G7" i="4"/>
  <c r="G8" i="4" s="1"/>
  <c r="B9" i="26"/>
  <c r="E9" i="26" s="1"/>
  <c r="C9" i="37" s="1"/>
  <c r="H9" i="37" s="1"/>
  <c r="B8" i="26"/>
  <c r="B7" i="26"/>
  <c r="E7" i="26" s="1"/>
  <c r="G16" i="35"/>
  <c r="C6" i="5"/>
  <c r="C7" i="37" l="1"/>
  <c r="H7" i="37" s="1"/>
  <c r="E8" i="26"/>
  <c r="C8" i="37" s="1"/>
  <c r="H8" i="37" s="1"/>
  <c r="B11" i="35"/>
  <c r="C11" i="35" s="1"/>
  <c r="C19" i="26"/>
  <c r="E19" i="26" s="1"/>
  <c r="C19" i="37" s="1"/>
  <c r="H19" i="37" s="1"/>
  <c r="F9" i="35"/>
  <c r="G9" i="35" s="1"/>
  <c r="H9" i="35" s="1"/>
  <c r="B13" i="35"/>
  <c r="C13" i="35" s="1"/>
  <c r="H13" i="35" s="1"/>
  <c r="C6" i="37"/>
  <c r="H6" i="37" s="1"/>
  <c r="G44" i="2"/>
  <c r="C7" i="35"/>
  <c r="C12" i="35"/>
  <c r="C7" i="4"/>
  <c r="H7" i="4" s="1"/>
  <c r="C5" i="6"/>
  <c r="C5" i="5"/>
  <c r="C5" i="7"/>
  <c r="C5" i="4"/>
  <c r="C7" i="5"/>
  <c r="H7" i="5" s="1"/>
  <c r="C7" i="6"/>
  <c r="H7" i="6" s="1"/>
  <c r="C6" i="6"/>
  <c r="C6" i="7"/>
  <c r="H6" i="7" s="1"/>
  <c r="H16" i="35"/>
  <c r="H20" i="37" l="1"/>
  <c r="E6" i="35"/>
  <c r="E11" i="35"/>
  <c r="H11" i="35" s="1"/>
  <c r="E7" i="35"/>
  <c r="H7" i="35" s="1"/>
  <c r="G30" i="2"/>
  <c r="G5" i="35" s="1"/>
  <c r="H5" i="35" s="1"/>
  <c r="H6" i="35"/>
  <c r="I15" i="35"/>
  <c r="E12" i="35"/>
  <c r="H12" i="35" s="1"/>
  <c r="C20" i="37"/>
  <c r="E5" i="7"/>
  <c r="H5" i="4"/>
  <c r="H5" i="6"/>
  <c r="C8" i="6"/>
  <c r="C8" i="5"/>
  <c r="H5" i="5"/>
  <c r="C7" i="7"/>
  <c r="C17" i="35"/>
  <c r="G17" i="35" l="1"/>
  <c r="C8" i="4"/>
  <c r="E6" i="6"/>
  <c r="H6" i="6" s="1"/>
  <c r="E6" i="4"/>
  <c r="H6" i="4" s="1"/>
  <c r="E6" i="5"/>
  <c r="H6" i="5" s="1"/>
  <c r="I4" i="35"/>
  <c r="E17" i="35"/>
  <c r="H5" i="7"/>
  <c r="E7" i="7" l="1"/>
  <c r="E8" i="4"/>
  <c r="I4" i="6"/>
  <c r="I8" i="6" s="1"/>
  <c r="D9" i="36" s="1"/>
  <c r="I4" i="5"/>
  <c r="I8" i="5" s="1"/>
  <c r="D7" i="36" s="1"/>
  <c r="E7" i="36" s="1"/>
  <c r="I17" i="35"/>
  <c r="C5" i="36" s="1"/>
  <c r="E5" i="36" s="1"/>
  <c r="F5" i="36" s="1"/>
  <c r="E8" i="6"/>
  <c r="I4" i="7"/>
  <c r="I7" i="7" s="1"/>
  <c r="E8" i="5"/>
  <c r="I4" i="4"/>
  <c r="I8" i="4" s="1"/>
  <c r="D12" i="36" l="1"/>
  <c r="D19" i="36"/>
  <c r="E19" i="36" s="1"/>
  <c r="F19" i="36" s="1"/>
  <c r="B19" i="37" s="1"/>
  <c r="G19" i="37" s="1"/>
  <c r="D17" i="36"/>
  <c r="E17" i="36" s="1"/>
  <c r="F17" i="36" s="1"/>
  <c r="B17" i="37" s="1"/>
  <c r="D18" i="36"/>
  <c r="E18" i="36" s="1"/>
  <c r="F18" i="36" s="1"/>
  <c r="B18" i="37" s="1"/>
  <c r="E9" i="36"/>
  <c r="F9" i="36" s="1"/>
  <c r="B9" i="37" s="1"/>
  <c r="G9" i="37" s="1"/>
  <c r="I9" i="37" s="1"/>
  <c r="F7" i="36"/>
  <c r="B7" i="37" s="1"/>
  <c r="G7" i="37" s="1"/>
  <c r="I7" i="37" s="1"/>
  <c r="D8" i="36"/>
  <c r="E8" i="36" s="1"/>
  <c r="E10" i="36"/>
  <c r="D14" i="36"/>
  <c r="E11" i="36"/>
  <c r="D16" i="36"/>
  <c r="D13" i="36"/>
  <c r="D15" i="36"/>
  <c r="E15" i="36" s="1"/>
  <c r="F15" i="36" s="1"/>
  <c r="D6" i="36"/>
  <c r="B5" i="37"/>
  <c r="G5" i="37" l="1"/>
  <c r="D18" i="37"/>
  <c r="G18" i="37"/>
  <c r="I18" i="37" s="1"/>
  <c r="I19" i="37"/>
  <c r="G17" i="37"/>
  <c r="I17" i="37" s="1"/>
  <c r="D17" i="37"/>
  <c r="D19" i="37"/>
  <c r="E13" i="36"/>
  <c r="F13" i="36" s="1"/>
  <c r="B13" i="37" s="1"/>
  <c r="E16" i="36"/>
  <c r="F16" i="36" s="1"/>
  <c r="B16" i="37" s="1"/>
  <c r="E14" i="36"/>
  <c r="F14" i="36" s="1"/>
  <c r="B14" i="37" s="1"/>
  <c r="E12" i="36"/>
  <c r="F12" i="36" s="1"/>
  <c r="B12" i="37" s="1"/>
  <c r="F10" i="36"/>
  <c r="B10" i="37" s="1"/>
  <c r="E6" i="36"/>
  <c r="F6" i="36" s="1"/>
  <c r="B6" i="37" s="1"/>
  <c r="F11" i="36"/>
  <c r="B11" i="37" s="1"/>
  <c r="F8" i="36"/>
  <c r="B8" i="37" s="1"/>
  <c r="D7" i="37"/>
  <c r="D9" i="37"/>
  <c r="B15" i="37"/>
  <c r="G15" i="37" s="1"/>
  <c r="I15" i="37" s="1"/>
  <c r="D5" i="37"/>
  <c r="B20" i="37" l="1"/>
  <c r="I5" i="37"/>
  <c r="D16" i="37"/>
  <c r="G16" i="37"/>
  <c r="I16" i="37" s="1"/>
  <c r="D13" i="37"/>
  <c r="G13" i="37"/>
  <c r="I13" i="37" s="1"/>
  <c r="D11" i="37"/>
  <c r="G11" i="37"/>
  <c r="I11" i="37" s="1"/>
  <c r="D6" i="37"/>
  <c r="G6" i="37"/>
  <c r="I6" i="37" s="1"/>
  <c r="D10" i="37"/>
  <c r="G10" i="37"/>
  <c r="I10" i="37" s="1"/>
  <c r="D12" i="37"/>
  <c r="G12" i="37"/>
  <c r="I12" i="37" s="1"/>
  <c r="D14" i="37"/>
  <c r="G14" i="37"/>
  <c r="I14" i="37" s="1"/>
  <c r="D8" i="37"/>
  <c r="G8" i="37"/>
  <c r="I8" i="37" s="1"/>
  <c r="D15" i="37"/>
  <c r="G20" i="37" l="1"/>
  <c r="I20" i="37"/>
  <c r="I21" i="37"/>
  <c r="I22" i="37"/>
  <c r="D22" i="37"/>
  <c r="D20" i="37"/>
  <c r="D21" i="37"/>
  <c r="I23" i="37" l="1"/>
  <c r="D23" i="37"/>
</calcChain>
</file>

<file path=xl/comments1.xml><?xml version="1.0" encoding="utf-8"?>
<comments xmlns="http://schemas.openxmlformats.org/spreadsheetml/2006/main">
  <authors>
    <author>Atilio Ramon Segura</author>
  </authors>
  <commentList>
    <comment ref="E24" authorId="0" shapeId="0">
      <text>
        <r>
          <rPr>
            <b/>
            <sz val="9"/>
            <color indexed="81"/>
            <rFont val="Tahoma"/>
            <family val="2"/>
          </rPr>
          <t>Atilio Ramon Segura:</t>
        </r>
        <r>
          <rPr>
            <sz val="9"/>
            <color indexed="81"/>
            <rFont val="Tahoma"/>
            <family val="2"/>
          </rPr>
          <t xml:space="preserve">
como son distintas cantidades, lo discrimino en el precio y pongo una sola unidad</t>
        </r>
      </text>
    </comment>
  </commentList>
</comments>
</file>

<file path=xl/sharedStrings.xml><?xml version="1.0" encoding="utf-8"?>
<sst xmlns="http://schemas.openxmlformats.org/spreadsheetml/2006/main" count="285" uniqueCount="170">
  <si>
    <t>Tractor + arado (Tr+arad)</t>
  </si>
  <si>
    <t>Tractor + cuadrante (Tr+cuad)</t>
  </si>
  <si>
    <t>Tractor + rastra de discos (Tr+RD)</t>
  </si>
  <si>
    <t>Tractor + bordeadora (Tr+bord)</t>
  </si>
  <si>
    <t>Tractor + acoplado (Tr+acop)</t>
  </si>
  <si>
    <t>Tractor + hoyadora (Tr+hoyad)</t>
  </si>
  <si>
    <t>3) Costo de insumos</t>
  </si>
  <si>
    <t>DENSIDAD DE PLANTACION  (pl/ha)</t>
  </si>
  <si>
    <t>NOTAS ACLARATORIAS:</t>
  </si>
  <si>
    <t xml:space="preserve">              Mano de obra</t>
  </si>
  <si>
    <t xml:space="preserve">   Maquinaria</t>
  </si>
  <si>
    <t xml:space="preserve">       Insumos</t>
  </si>
  <si>
    <t>PARCIAL</t>
  </si>
  <si>
    <t>ITEM</t>
  </si>
  <si>
    <t>jor/ha</t>
  </si>
  <si>
    <t>$/ha</t>
  </si>
  <si>
    <t>horas/ha</t>
  </si>
  <si>
    <t>unid/ha</t>
  </si>
  <si>
    <t>Plantación</t>
  </si>
  <si>
    <t xml:space="preserve">   Plantas</t>
  </si>
  <si>
    <t xml:space="preserve">   Acond y dist. Tr+acop</t>
  </si>
  <si>
    <t xml:space="preserve">   Plantación</t>
  </si>
  <si>
    <t>Labores culturales</t>
  </si>
  <si>
    <t>TOTAL</t>
  </si>
  <si>
    <t xml:space="preserve">   Mant. red riego Tr+zanj</t>
  </si>
  <si>
    <t>FLUJO DE CAJA DEL PROYECTO</t>
  </si>
  <si>
    <t>AÑO</t>
  </si>
  <si>
    <t>COMPONENTES DEL COSTO</t>
  </si>
  <si>
    <t>AÑO 1</t>
  </si>
  <si>
    <t>AÑO 2</t>
  </si>
  <si>
    <t>AÑO 3</t>
  </si>
  <si>
    <t>AÑOS 4 AL 6</t>
  </si>
  <si>
    <t xml:space="preserve">PROYECTO DE FORESTACION </t>
  </si>
  <si>
    <t>ALAMO BAJO RIEGO</t>
  </si>
  <si>
    <t>Tractor + zanjador (Tr+zanj)</t>
  </si>
  <si>
    <t>Tractor + subsolador (Tr+subs)</t>
  </si>
  <si>
    <r>
      <t xml:space="preserve">   </t>
    </r>
    <r>
      <rPr>
        <sz val="10"/>
        <rFont val="Arial"/>
        <family val="2"/>
      </rPr>
      <t>Poda</t>
    </r>
  </si>
  <si>
    <r>
      <t xml:space="preserve">   </t>
    </r>
    <r>
      <rPr>
        <sz val="10"/>
        <rFont val="Arial"/>
        <family val="2"/>
      </rPr>
      <t xml:space="preserve">Poda  </t>
    </r>
  </si>
  <si>
    <t>T.I.R.</t>
  </si>
  <si>
    <t>Tractor + pulverizadora (Tr+pulv)</t>
  </si>
  <si>
    <t>Tractor + trituradora (Tr+trit)</t>
  </si>
  <si>
    <t xml:space="preserve">   Marcación</t>
  </si>
  <si>
    <t>CUADRO DE EGRESOS</t>
  </si>
  <si>
    <t>ha</t>
  </si>
  <si>
    <t>$</t>
  </si>
  <si>
    <t xml:space="preserve">CUADRO DE INGRESOS </t>
  </si>
  <si>
    <t>VENTA DE MADERA $/HA</t>
  </si>
  <si>
    <t>MADERA DEBOBINADO $/HA</t>
  </si>
  <si>
    <t>MADERA DEBOBINADO TN/HA</t>
  </si>
  <si>
    <t>MADERA DEBOBINADO $/TN</t>
  </si>
  <si>
    <t>C. Cult.</t>
  </si>
  <si>
    <t>Plant. Mac.</t>
  </si>
  <si>
    <t>SUPERFICIE A IMPLANTAR  HA</t>
  </si>
  <si>
    <t>4) Riego en $/ha/año</t>
  </si>
  <si>
    <t>Canon de riego</t>
  </si>
  <si>
    <t>9*</t>
  </si>
  <si>
    <t>Costo operativo de las maquinarias con los distintos implementos,</t>
  </si>
  <si>
    <t xml:space="preserve"> sin conductor.</t>
  </si>
  <si>
    <t>1)Costo de labores en $/hora sin maquinista,</t>
  </si>
  <si>
    <t xml:space="preserve"> maquinaria propia con amortizaciones</t>
  </si>
  <si>
    <t>Preparación de suelo</t>
  </si>
  <si>
    <t>Disqueada cruzada</t>
  </si>
  <si>
    <t>Cuadros:</t>
  </si>
  <si>
    <t xml:space="preserve">pl/ha </t>
  </si>
  <si>
    <t>m2/ha</t>
  </si>
  <si>
    <t>m e/filas</t>
  </si>
  <si>
    <t>m e/pl</t>
  </si>
  <si>
    <t xml:space="preserve">   Hoyado Tr+hoyad*.</t>
  </si>
  <si>
    <t>* hoyos/hora</t>
  </si>
  <si>
    <t>hoyos /ha</t>
  </si>
  <si>
    <t>ANR SEGUNDA PODA $/HA</t>
  </si>
  <si>
    <t>DATOS AUXILIARES</t>
  </si>
  <si>
    <t>lts/hora</t>
  </si>
  <si>
    <t>$/lt</t>
  </si>
  <si>
    <t>Combustible</t>
  </si>
  <si>
    <t>Amortización</t>
  </si>
  <si>
    <t xml:space="preserve">          Tractor*:</t>
  </si>
  <si>
    <t>$ vn</t>
  </si>
  <si>
    <t xml:space="preserve">Amortizac </t>
  </si>
  <si>
    <t>Plazo amort</t>
  </si>
  <si>
    <t>Mantenimiento**</t>
  </si>
  <si>
    <t>Valor nuevo $</t>
  </si>
  <si>
    <t>horas</t>
  </si>
  <si>
    <t>Plantas R1/T1en $/unidad comprado en vivero</t>
  </si>
  <si>
    <t>Nivelación con laser</t>
  </si>
  <si>
    <t>hs/ha</t>
  </si>
  <si>
    <t>$/hs</t>
  </si>
  <si>
    <t>Arado Cincel</t>
  </si>
  <si>
    <t>pl/jorn/hombre</t>
  </si>
  <si>
    <t>ANR</t>
  </si>
  <si>
    <t>MADERA ASERRADO $/HA</t>
  </si>
  <si>
    <t>MADERA ASERRADO TN/HA</t>
  </si>
  <si>
    <t>AENR PLANTACION $/HA</t>
  </si>
  <si>
    <t>AENR PRIMERA PODA $/HA</t>
  </si>
  <si>
    <t>AENR TERCERA PODA $/HA</t>
  </si>
  <si>
    <t>EGRESOS ($)</t>
  </si>
  <si>
    <t>INGRESOS ($)</t>
  </si>
  <si>
    <t>Mec-Tract</t>
  </si>
  <si>
    <t xml:space="preserve"> </t>
  </si>
  <si>
    <t xml:space="preserve">V.A.N. </t>
  </si>
  <si>
    <t>** Mant (factor)</t>
  </si>
  <si>
    <t>Peón único</t>
  </si>
  <si>
    <t>2) Costo de mano de obra en $/jornal (convenio + 52%)</t>
  </si>
  <si>
    <t>$/hora</t>
  </si>
  <si>
    <t>MADERA ASERRADO $/TN</t>
  </si>
  <si>
    <t>Marzo de 2020</t>
  </si>
  <si>
    <t>Res 01/20 CINTA</t>
  </si>
  <si>
    <t>*75hp JD5075 Ricardo Natalini dic 19</t>
  </si>
  <si>
    <t>Infinia Diesel</t>
  </si>
  <si>
    <t>ACA Choele Choel marzo 2020</t>
  </si>
  <si>
    <t>U$S  + iva 10,5</t>
  </si>
  <si>
    <t>U$S</t>
  </si>
  <si>
    <t>1er año</t>
  </si>
  <si>
    <t>fardos</t>
  </si>
  <si>
    <t>2do año</t>
  </si>
  <si>
    <t>3er año</t>
  </si>
  <si>
    <t>4to año</t>
  </si>
  <si>
    <t>5to año</t>
  </si>
  <si>
    <t>FARDOS ALFALFA 25 KG*</t>
  </si>
  <si>
    <t>6to año</t>
  </si>
  <si>
    <t>7mo año</t>
  </si>
  <si>
    <t>8vo año</t>
  </si>
  <si>
    <t>9no año</t>
  </si>
  <si>
    <t>10mo año</t>
  </si>
  <si>
    <t>11mo año</t>
  </si>
  <si>
    <t>12mo año</t>
  </si>
  <si>
    <t>13er año</t>
  </si>
  <si>
    <t>14to año</t>
  </si>
  <si>
    <t>15to año</t>
  </si>
  <si>
    <t>AÑOS 7 AL 15</t>
  </si>
  <si>
    <t xml:space="preserve">TOTAL </t>
  </si>
  <si>
    <t>C. Adm.</t>
  </si>
  <si>
    <t>kg carne</t>
  </si>
  <si>
    <t>KILO VIVO NOVILLO</t>
  </si>
  <si>
    <t>INGRESO COMPONENTE AGROPECUARIO</t>
  </si>
  <si>
    <t>INGRESO COMPONENTE FORESTAL</t>
  </si>
  <si>
    <t>% de la producción aportando suelo y riego</t>
  </si>
  <si>
    <t>ANUALIDAD</t>
  </si>
  <si>
    <t>% de los kg de carne producidos</t>
  </si>
  <si>
    <t>kg vivo/kg mat seca</t>
  </si>
  <si>
    <t>5) Compra/venta de la tierra</t>
  </si>
  <si>
    <t>SIN COMPRA DE LA TIERRA</t>
  </si>
  <si>
    <t>FLUJO NETO ($)</t>
  </si>
  <si>
    <t>CON COMPRA DE LA TIERRA</t>
  </si>
  <si>
    <t>u$s/ha</t>
  </si>
  <si>
    <t>NIVELACION FINA</t>
  </si>
  <si>
    <t>Coeficiente</t>
  </si>
  <si>
    <t>MEMORIA TECNICA</t>
  </si>
  <si>
    <t>NOTA: los valores son antes de impuestos.</t>
  </si>
  <si>
    <t xml:space="preserve">NOTA: siguiendo el criterio de Esquivel se establecen los costos de administración y </t>
  </si>
  <si>
    <t>estructura como un 12% de los egresos del año.</t>
  </si>
  <si>
    <t xml:space="preserve">FARDOS </t>
  </si>
  <si>
    <t>(Dato F. Pili 120-180 $/unidad</t>
  </si>
  <si>
    <t>PASTOREO DIRECTO SOBRE PASTURA CONSOCIADA</t>
  </si>
  <si>
    <t>(Porcentaje asumido para simplificar la estructura)</t>
  </si>
  <si>
    <t>Valor asumido para simplificar el cálculo</t>
  </si>
  <si>
    <t>Modelo AgroSilvo Pastoril</t>
  </si>
  <si>
    <t>(álamo + alfalfa de corte + pastura polifitica bajo pastoreo directo)</t>
  </si>
  <si>
    <t xml:space="preserve">   Riego (10)</t>
  </si>
  <si>
    <t xml:space="preserve">   Riego (8)</t>
  </si>
  <si>
    <t>pastura base alfalfa</t>
  </si>
  <si>
    <t>Kg/ha</t>
  </si>
  <si>
    <t>pastura consociada</t>
  </si>
  <si>
    <t>SIEMBRA DIRECTA DE PASTURA</t>
  </si>
  <si>
    <t>SIEMBRA DE PASTURA</t>
  </si>
  <si>
    <t>Siembra de pastura</t>
  </si>
  <si>
    <t xml:space="preserve">   Riegos (15) </t>
  </si>
  <si>
    <t xml:space="preserve">   Riego (12)</t>
  </si>
  <si>
    <t>Semillas de pasturas:</t>
  </si>
  <si>
    <t>El modelo presentado asume la utilización de maquinaria propia, cuyo costo horario surge de la multiplicación del valor horario del tractor, por un coeficiente de ajuste que expresa la incidencia del implemento utilizado sobre la demanda de potencia y la amortización del mismo.
El costo de mano de obra surge del acuerdo vigente de la Comisión de Trabajo Agrario afectado por un coeficiente del 52% que expresa la incidencia de aguinaldo, vacaciones y cargas patronales. El mecánico tractorista es afectado a la operación y mantenimiento del tractor y el peón único a tareas generales como: plantación, riego, poda manual, etc..
El costo de las plantas R1T1 presentan el costo suministrado por el Vivero provincial de Valle Medio (RN) y el del canon de riego el promedio de los consorcios de Valle Medio del RN.
La nivelación fina surge de una estimación de movimiento de suelo del orden de 200-400 m3/ha realizada después de las tareas de roturación de suelo.
La densidad de 278 pl/ha en un marco de 9m entre filas y 4 m entre plantas busca optimizar el ingreso de luz al estrato herbáceo, la facilidad de operación de máquinas medianas (corte y enfardado/enrollado) y el beneficio de los ANR de la Ley 25.080 por plantación y podas.
Como componentes del sistema agropastoril, para simplificar el cálculo en relación al número de modelos posibles de utilizarse: composición de la pastura, arreglo con contratista de corta y enfardado/enrrollado, arreglo con propietario de la hacienda en el pastoreo, etc., se tomaron valores que por su prudencia permiten suponer que cumplen holgadamente con la realidad productiva (cantidad de fardos/ha; porcentaje de la producción de pasto para el dueño de la tierra y operador del riego; productividad de 0,09 kg vivo/kg mat seca en el engorde; etc).
Finalmente, tanto la productividad forestal (toneladas de madera rolliza/ha y su distribución en calidades –debobinado, aserrado-) como los precios asumidos están calculados como piso de la franja de precios actuales.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</si>
</sst>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_ ;[Red]\-0.00\ "/>
    <numFmt numFmtId="166" formatCode="0.00000"/>
    <numFmt numFmtId="167" formatCode="_ [$$-2C0A]\ * #,##0_ ;_ [$$-2C0A]\ * \-#,##0_ ;_ [$$-2C0A]\ * &quot;-&quot;_ ;_ @_ "/>
  </numFmts>
  <fonts count="33" x14ac:knownFonts="1">
    <font>
      <sz val="10"/>
      <name val="Arial"/>
    </font>
    <font>
      <b/>
      <sz val="10"/>
      <name val="Arial"/>
      <family val="2"/>
    </font>
    <font>
      <sz val="10"/>
      <name val="Arial"/>
      <family val="2"/>
    </font>
    <font>
      <b/>
      <sz val="10"/>
      <name val="Arial"/>
      <family val="2"/>
    </font>
    <font>
      <b/>
      <sz val="12"/>
      <name val="Arial"/>
      <family val="2"/>
    </font>
    <font>
      <b/>
      <i/>
      <sz val="11"/>
      <name val="Arial"/>
      <family val="2"/>
    </font>
    <font>
      <sz val="10"/>
      <name val="Arial"/>
      <family val="2"/>
    </font>
    <font>
      <sz val="18"/>
      <name val="Arial"/>
      <family val="2"/>
    </font>
    <font>
      <b/>
      <sz val="14"/>
      <name val="Arial"/>
      <family val="2"/>
    </font>
    <font>
      <sz val="10"/>
      <name val="Times New Roman"/>
      <family val="1"/>
    </font>
    <font>
      <b/>
      <sz val="16"/>
      <name val="Tahoma"/>
      <family val="2"/>
    </font>
    <font>
      <sz val="10"/>
      <name val="Tahoma"/>
      <family val="2"/>
    </font>
    <font>
      <sz val="16"/>
      <name val="Tahoma"/>
      <family val="2"/>
    </font>
    <font>
      <b/>
      <sz val="24"/>
      <name val="Tahoma"/>
      <family val="2"/>
    </font>
    <font>
      <sz val="18"/>
      <name val="Tahoma"/>
      <family val="2"/>
    </font>
    <font>
      <b/>
      <sz val="26"/>
      <name val="Tahoma"/>
      <family val="2"/>
    </font>
    <font>
      <sz val="26"/>
      <name val="Tahoma"/>
      <family val="2"/>
    </font>
    <font>
      <b/>
      <sz val="18"/>
      <name val="Tahoma"/>
      <family val="2"/>
    </font>
    <font>
      <b/>
      <u/>
      <sz val="14"/>
      <name val="Arial"/>
      <family val="2"/>
    </font>
    <font>
      <sz val="12"/>
      <name val="Arial"/>
      <family val="2"/>
    </font>
    <font>
      <b/>
      <u/>
      <sz val="16"/>
      <name val="Arial"/>
      <family val="2"/>
    </font>
    <font>
      <sz val="14"/>
      <name val="Arial"/>
      <family val="2"/>
    </font>
    <font>
      <b/>
      <u val="double"/>
      <sz val="14"/>
      <name val="Arial"/>
      <family val="2"/>
    </font>
    <font>
      <b/>
      <sz val="22"/>
      <name val="Tahoma"/>
      <family val="2"/>
    </font>
    <font>
      <i/>
      <sz val="12"/>
      <name val="Arial"/>
      <family val="2"/>
    </font>
    <font>
      <b/>
      <i/>
      <u val="double"/>
      <sz val="14"/>
      <name val="Arial"/>
      <family val="2"/>
    </font>
    <font>
      <b/>
      <i/>
      <sz val="10"/>
      <name val="Arial"/>
      <family val="2"/>
    </font>
    <font>
      <b/>
      <sz val="12"/>
      <name val="Tahoma"/>
      <family val="2"/>
    </font>
    <font>
      <b/>
      <u val="double"/>
      <sz val="12"/>
      <name val="Arial"/>
      <family val="2"/>
    </font>
    <font>
      <sz val="11"/>
      <name val="Arial"/>
      <family val="2"/>
    </font>
    <font>
      <b/>
      <sz val="11"/>
      <name val="Tahoma"/>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3">
    <border>
      <left/>
      <right/>
      <top/>
      <bottom/>
      <diagonal/>
    </border>
    <border>
      <left/>
      <right/>
      <top style="thick">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0" borderId="0"/>
  </cellStyleXfs>
  <cellXfs count="226">
    <xf numFmtId="0" fontId="0" fillId="0" borderId="0" xfId="0"/>
    <xf numFmtId="2" fontId="0" fillId="0" borderId="0" xfId="0" applyNumberFormat="1" applyFont="1" applyFill="1" applyBorder="1" applyAlignment="1"/>
    <xf numFmtId="0" fontId="0" fillId="0" borderId="0" xfId="0" applyBorder="1"/>
    <xf numFmtId="0" fontId="7" fillId="0" borderId="0" xfId="0" applyFont="1" applyBorder="1"/>
    <xf numFmtId="2" fontId="0" fillId="0" borderId="0" xfId="0" applyNumberFormat="1" applyBorder="1"/>
    <xf numFmtId="0" fontId="6" fillId="0" borderId="0" xfId="0" applyFont="1" applyBorder="1"/>
    <xf numFmtId="0" fontId="0" fillId="2" borderId="0" xfId="0" applyFill="1" applyBorder="1"/>
    <xf numFmtId="0" fontId="3" fillId="2" borderId="1" xfId="0" applyFont="1" applyFill="1" applyBorder="1" applyAlignment="1"/>
    <xf numFmtId="0" fontId="3" fillId="2" borderId="1" xfId="0" applyFont="1" applyFill="1" applyBorder="1" applyAlignment="1">
      <alignment horizontal="centerContinuous"/>
    </xf>
    <xf numFmtId="0" fontId="3" fillId="2" borderId="1" xfId="0" applyFont="1" applyFill="1" applyBorder="1" applyAlignment="1">
      <alignment horizontal="right"/>
    </xf>
    <xf numFmtId="0" fontId="3" fillId="2" borderId="2" xfId="0" applyFont="1" applyFill="1" applyBorder="1" applyAlignment="1"/>
    <xf numFmtId="0" fontId="3" fillId="2" borderId="2" xfId="0" applyFont="1" applyFill="1" applyBorder="1" applyAlignment="1">
      <alignment horizontal="right"/>
    </xf>
    <xf numFmtId="0" fontId="3" fillId="2" borderId="0" xfId="0" applyFont="1" applyFill="1" applyBorder="1" applyAlignment="1"/>
    <xf numFmtId="0" fontId="0" fillId="2" borderId="0" xfId="0" applyFill="1" applyBorder="1" applyAlignment="1"/>
    <xf numFmtId="1" fontId="0" fillId="0" borderId="0" xfId="0" applyNumberFormat="1" applyBorder="1"/>
    <xf numFmtId="3" fontId="6" fillId="2" borderId="0" xfId="1" applyNumberFormat="1" applyFont="1" applyFill="1"/>
    <xf numFmtId="4" fontId="19" fillId="2" borderId="0" xfId="1" applyNumberFormat="1" applyFont="1" applyFill="1"/>
    <xf numFmtId="3" fontId="19" fillId="2" borderId="0" xfId="1" applyNumberFormat="1" applyFont="1" applyFill="1"/>
    <xf numFmtId="0" fontId="6" fillId="2" borderId="0" xfId="1" applyFont="1" applyFill="1"/>
    <xf numFmtId="3" fontId="6" fillId="2" borderId="0" xfId="1" applyNumberFormat="1" applyFont="1" applyFill="1" applyAlignment="1">
      <alignment horizontal="center"/>
    </xf>
    <xf numFmtId="4" fontId="6" fillId="2" borderId="0" xfId="1" applyNumberFormat="1" applyFont="1" applyFill="1" applyAlignment="1">
      <alignment horizontal="center"/>
    </xf>
    <xf numFmtId="4" fontId="6" fillId="2" borderId="0" xfId="1" applyNumberFormat="1" applyFont="1" applyFill="1" applyBorder="1" applyAlignment="1">
      <alignment horizontal="center"/>
    </xf>
    <xf numFmtId="3" fontId="6" fillId="2" borderId="0" xfId="1" applyNumberFormat="1" applyFont="1" applyFill="1" applyBorder="1" applyAlignment="1">
      <alignment horizontal="center"/>
    </xf>
    <xf numFmtId="3" fontId="20" fillId="2" borderId="0" xfId="1" applyNumberFormat="1" applyFont="1" applyFill="1" applyAlignment="1">
      <alignment horizontal="left"/>
    </xf>
    <xf numFmtId="0" fontId="6" fillId="2" borderId="0" xfId="1" applyFont="1" applyFill="1" applyAlignment="1">
      <alignment horizontal="center"/>
    </xf>
    <xf numFmtId="0" fontId="6" fillId="0" borderId="0" xfId="1" applyFont="1"/>
    <xf numFmtId="0" fontId="4" fillId="2" borderId="0" xfId="1" applyFont="1" applyFill="1" applyBorder="1" applyAlignment="1">
      <alignment horizontal="center"/>
    </xf>
    <xf numFmtId="3" fontId="19" fillId="2" borderId="0" xfId="1" applyNumberFormat="1" applyFont="1" applyFill="1" applyBorder="1" applyAlignment="1">
      <alignment horizontal="center"/>
    </xf>
    <xf numFmtId="3" fontId="19" fillId="2" borderId="0" xfId="1" applyNumberFormat="1" applyFont="1" applyFill="1" applyBorder="1" applyAlignment="1"/>
    <xf numFmtId="3" fontId="6" fillId="2" borderId="0" xfId="1" applyNumberFormat="1" applyFont="1" applyFill="1" applyBorder="1" applyAlignment="1">
      <alignment horizontal="left"/>
    </xf>
    <xf numFmtId="164" fontId="6" fillId="0" borderId="0" xfId="1" applyNumberFormat="1" applyFont="1"/>
    <xf numFmtId="3" fontId="6" fillId="0" borderId="0" xfId="1" applyNumberFormat="1" applyFont="1" applyAlignment="1"/>
    <xf numFmtId="4" fontId="19" fillId="2" borderId="0" xfId="1" applyNumberFormat="1" applyFont="1" applyFill="1" applyBorder="1" applyAlignment="1">
      <alignment horizontal="center"/>
    </xf>
    <xf numFmtId="3" fontId="8" fillId="2" borderId="0" xfId="1" applyNumberFormat="1" applyFont="1" applyFill="1" applyBorder="1" applyAlignment="1">
      <alignment horizontal="center"/>
    </xf>
    <xf numFmtId="4" fontId="8" fillId="2" borderId="0" xfId="1" applyNumberFormat="1" applyFont="1" applyFill="1" applyBorder="1" applyAlignment="1">
      <alignment horizontal="center"/>
    </xf>
    <xf numFmtId="3" fontId="3" fillId="2" borderId="0" xfId="1" applyNumberFormat="1" applyFont="1" applyFill="1" applyBorder="1" applyAlignment="1">
      <alignment horizontal="left"/>
    </xf>
    <xf numFmtId="4" fontId="6" fillId="2" borderId="0" xfId="1" applyNumberFormat="1" applyFont="1" applyFill="1"/>
    <xf numFmtId="0" fontId="21" fillId="2" borderId="0" xfId="1" applyFont="1" applyFill="1"/>
    <xf numFmtId="1" fontId="19" fillId="3" borderId="0" xfId="0" applyNumberFormat="1" applyFont="1" applyFill="1" applyBorder="1"/>
    <xf numFmtId="0" fontId="2" fillId="2" borderId="0" xfId="0" applyFont="1" applyFill="1" applyBorder="1"/>
    <xf numFmtId="0" fontId="2" fillId="0" borderId="0" xfId="0" applyFont="1" applyBorder="1"/>
    <xf numFmtId="3" fontId="3" fillId="2" borderId="8" xfId="1" applyNumberFormat="1" applyFont="1" applyFill="1" applyBorder="1" applyAlignment="1"/>
    <xf numFmtId="4" fontId="0" fillId="2" borderId="0" xfId="0" applyNumberFormat="1" applyFill="1" applyBorder="1"/>
    <xf numFmtId="4" fontId="0" fillId="2" borderId="0" xfId="0" applyNumberFormat="1" applyFont="1" applyFill="1" applyBorder="1" applyAlignment="1"/>
    <xf numFmtId="4" fontId="1" fillId="2" borderId="0" xfId="0" applyNumberFormat="1" applyFont="1" applyFill="1" applyBorder="1"/>
    <xf numFmtId="4" fontId="3" fillId="2" borderId="0" xfId="0" applyNumberFormat="1" applyFont="1" applyFill="1" applyBorder="1"/>
    <xf numFmtId="4" fontId="0" fillId="2" borderId="2" xfId="0" applyNumberFormat="1" applyFont="1" applyFill="1" applyBorder="1" applyAlignment="1"/>
    <xf numFmtId="4" fontId="3" fillId="2" borderId="8" xfId="1" applyNumberFormat="1" applyFont="1" applyFill="1" applyBorder="1" applyAlignment="1"/>
    <xf numFmtId="4" fontId="6" fillId="0" borderId="0" xfId="1" applyNumberFormat="1" applyFont="1"/>
    <xf numFmtId="3" fontId="8" fillId="0" borderId="8" xfId="1" applyNumberFormat="1" applyFont="1" applyFill="1" applyBorder="1" applyAlignment="1">
      <alignment horizontal="center"/>
    </xf>
    <xf numFmtId="4" fontId="8" fillId="0" borderId="8" xfId="1" applyNumberFormat="1" applyFont="1" applyFill="1" applyBorder="1" applyAlignment="1">
      <alignment horizontal="center" vertical="center" wrapText="1"/>
    </xf>
    <xf numFmtId="4" fontId="8" fillId="0" borderId="8" xfId="1" applyNumberFormat="1" applyFont="1" applyFill="1" applyBorder="1" applyAlignment="1">
      <alignment horizontal="center"/>
    </xf>
    <xf numFmtId="0" fontId="8" fillId="0" borderId="8" xfId="1" applyFont="1" applyFill="1" applyBorder="1" applyAlignment="1">
      <alignment horizontal="center"/>
    </xf>
    <xf numFmtId="3" fontId="21" fillId="0" borderId="8" xfId="1" applyNumberFormat="1" applyFont="1" applyFill="1" applyBorder="1" applyAlignment="1">
      <alignment horizontal="center"/>
    </xf>
    <xf numFmtId="3" fontId="21" fillId="0" borderId="8" xfId="1" applyNumberFormat="1" applyFont="1" applyFill="1" applyBorder="1" applyAlignment="1">
      <alignment horizontal="right"/>
    </xf>
    <xf numFmtId="3" fontId="8" fillId="0" borderId="8" xfId="1" applyNumberFormat="1" applyFont="1" applyFill="1" applyBorder="1" applyAlignment="1">
      <alignment horizontal="right"/>
    </xf>
    <xf numFmtId="0" fontId="12" fillId="3" borderId="0" xfId="0" applyFont="1" applyFill="1" applyBorder="1" applyAlignment="1">
      <alignment horizontal="centerContinuous"/>
    </xf>
    <xf numFmtId="0" fontId="11" fillId="3" borderId="0" xfId="0" applyFont="1" applyFill="1" applyBorder="1" applyAlignment="1">
      <alignment horizontal="centerContinuous"/>
    </xf>
    <xf numFmtId="0" fontId="11" fillId="3" borderId="0" xfId="0" applyFont="1" applyFill="1" applyBorder="1"/>
    <xf numFmtId="0" fontId="13" fillId="3" borderId="0" xfId="0" applyFont="1" applyFill="1" applyBorder="1" applyAlignment="1">
      <alignment horizontal="centerContinuous"/>
    </xf>
    <xf numFmtId="0" fontId="14" fillId="3" borderId="0" xfId="0" applyFont="1" applyFill="1" applyBorder="1" applyAlignment="1">
      <alignment horizontal="centerContinuous"/>
    </xf>
    <xf numFmtId="0" fontId="15" fillId="3" borderId="0" xfId="0" applyFont="1" applyFill="1" applyBorder="1" applyAlignment="1">
      <alignment horizontal="centerContinuous"/>
    </xf>
    <xf numFmtId="0" fontId="16" fillId="3" borderId="0" xfId="0" applyFont="1" applyFill="1" applyBorder="1" applyAlignment="1">
      <alignment horizontal="centerContinuous"/>
    </xf>
    <xf numFmtId="0" fontId="10" fillId="3" borderId="0" xfId="0" applyFont="1" applyFill="1" applyBorder="1" applyAlignment="1">
      <alignment horizontal="centerContinuous"/>
    </xf>
    <xf numFmtId="3" fontId="8" fillId="0" borderId="8" xfId="1" applyNumberFormat="1" applyFont="1" applyFill="1" applyBorder="1" applyAlignment="1">
      <alignment horizontal="center"/>
    </xf>
    <xf numFmtId="3" fontId="8" fillId="0" borderId="8" xfId="1" applyNumberFormat="1" applyFont="1" applyFill="1" applyBorder="1" applyAlignment="1">
      <alignment horizontal="center" vertical="center"/>
    </xf>
    <xf numFmtId="4" fontId="5" fillId="2" borderId="0" xfId="0" applyNumberFormat="1" applyFont="1" applyFill="1" applyBorder="1"/>
    <xf numFmtId="0" fontId="1" fillId="0" borderId="0" xfId="0" applyFont="1" applyBorder="1" applyAlignment="1">
      <alignment horizontal="center" vertical="center"/>
    </xf>
    <xf numFmtId="0" fontId="4" fillId="3" borderId="0" xfId="0" applyFont="1" applyFill="1" applyBorder="1" applyAlignment="1">
      <alignment horizontal="center" vertical="center"/>
    </xf>
    <xf numFmtId="3" fontId="4" fillId="3" borderId="0" xfId="0" applyNumberFormat="1" applyFont="1" applyFill="1" applyBorder="1" applyAlignment="1">
      <alignment horizontal="right" vertical="center"/>
    </xf>
    <xf numFmtId="0" fontId="4" fillId="3" borderId="0" xfId="0" applyFont="1" applyFill="1" applyBorder="1" applyAlignment="1">
      <alignment horizontal="right" vertical="center"/>
    </xf>
    <xf numFmtId="10" fontId="4" fillId="3" borderId="0" xfId="0" applyNumberFormat="1" applyFont="1" applyFill="1" applyBorder="1" applyAlignment="1">
      <alignment horizontal="right" vertical="center"/>
    </xf>
    <xf numFmtId="0" fontId="6" fillId="3" borderId="0" xfId="0" applyFont="1" applyFill="1" applyBorder="1"/>
    <xf numFmtId="4" fontId="4" fillId="3" borderId="0" xfId="0" applyNumberFormat="1" applyFont="1" applyFill="1" applyBorder="1" applyAlignment="1">
      <alignment horizontal="right" vertical="center"/>
    </xf>
    <xf numFmtId="0" fontId="8" fillId="3" borderId="0" xfId="0" applyFont="1" applyFill="1" applyBorder="1" applyAlignment="1">
      <alignment horizontal="center"/>
    </xf>
    <xf numFmtId="4" fontId="5" fillId="2" borderId="0" xfId="0" applyNumberFormat="1" applyFont="1" applyFill="1" applyBorder="1" applyAlignment="1">
      <alignment horizontal="right"/>
    </xf>
    <xf numFmtId="0" fontId="4" fillId="0" borderId="0" xfId="0" applyFont="1"/>
    <xf numFmtId="0" fontId="19" fillId="3" borderId="0" xfId="0" applyFont="1" applyFill="1" applyBorder="1"/>
    <xf numFmtId="0" fontId="4" fillId="3" borderId="0" xfId="0" applyFont="1" applyFill="1" applyBorder="1"/>
    <xf numFmtId="0" fontId="4" fillId="3" borderId="0" xfId="0" applyFont="1" applyFill="1" applyBorder="1" applyAlignment="1">
      <alignment horizontal="left" indent="3"/>
    </xf>
    <xf numFmtId="0" fontId="24" fillId="3" borderId="0" xfId="0" applyFont="1" applyFill="1" applyBorder="1"/>
    <xf numFmtId="2" fontId="19" fillId="3" borderId="0" xfId="0" applyNumberFormat="1" applyFont="1" applyFill="1" applyBorder="1"/>
    <xf numFmtId="0" fontId="19" fillId="3" borderId="0" xfId="0" applyFont="1" applyFill="1" applyBorder="1" applyAlignment="1">
      <alignment horizontal="right"/>
    </xf>
    <xf numFmtId="4" fontId="19" fillId="3" borderId="0" xfId="0" applyNumberFormat="1" applyFont="1" applyFill="1" applyBorder="1"/>
    <xf numFmtId="0" fontId="4" fillId="3" borderId="0" xfId="0" applyFont="1" applyFill="1" applyBorder="1" applyAlignment="1">
      <alignment horizontal="left"/>
    </xf>
    <xf numFmtId="4" fontId="19" fillId="3" borderId="0" xfId="0" applyNumberFormat="1" applyFont="1" applyFill="1" applyBorder="1" applyAlignment="1">
      <alignment horizontal="right"/>
    </xf>
    <xf numFmtId="165" fontId="19" fillId="3" borderId="0" xfId="0" applyNumberFormat="1" applyFont="1" applyFill="1" applyBorder="1" applyAlignment="1">
      <alignment horizontal="right"/>
    </xf>
    <xf numFmtId="3" fontId="19" fillId="3" borderId="0" xfId="0" applyNumberFormat="1" applyFont="1" applyFill="1" applyBorder="1"/>
    <xf numFmtId="0" fontId="19" fillId="3" borderId="0" xfId="0" applyFont="1" applyFill="1" applyBorder="1" applyAlignment="1">
      <alignment horizontal="center"/>
    </xf>
    <xf numFmtId="0" fontId="19" fillId="3" borderId="0" xfId="0" applyFont="1" applyFill="1" applyBorder="1" applyAlignment="1">
      <alignment horizontal="left" indent="3"/>
    </xf>
    <xf numFmtId="0" fontId="0" fillId="3" borderId="0" xfId="0" applyFill="1" applyBorder="1"/>
    <xf numFmtId="0" fontId="4" fillId="3" borderId="0" xfId="0" applyFont="1" applyFill="1" applyBorder="1" applyAlignment="1">
      <alignment horizontal="right"/>
    </xf>
    <xf numFmtId="2" fontId="4" fillId="3" borderId="0" xfId="0" applyNumberFormat="1" applyFont="1" applyFill="1" applyBorder="1"/>
    <xf numFmtId="0" fontId="19" fillId="3" borderId="8" xfId="0" applyFont="1" applyFill="1" applyBorder="1"/>
    <xf numFmtId="2" fontId="19" fillId="3" borderId="8" xfId="0" applyNumberFormat="1" applyFont="1" applyFill="1" applyBorder="1"/>
    <xf numFmtId="0" fontId="26" fillId="3" borderId="0" xfId="0" applyFont="1" applyFill="1" applyBorder="1" applyAlignment="1">
      <alignment horizontal="left"/>
    </xf>
    <xf numFmtId="0" fontId="26" fillId="3" borderId="0" xfId="0" applyFont="1" applyFill="1" applyBorder="1" applyAlignment="1">
      <alignment horizontal="right"/>
    </xf>
    <xf numFmtId="3" fontId="0" fillId="3" borderId="0" xfId="0" applyNumberFormat="1" applyFill="1" applyBorder="1"/>
    <xf numFmtId="0" fontId="2" fillId="3" borderId="0" xfId="0" applyFont="1" applyFill="1" applyBorder="1"/>
    <xf numFmtId="2" fontId="0" fillId="3" borderId="0" xfId="0" applyNumberFormat="1" applyFill="1" applyBorder="1"/>
    <xf numFmtId="166" fontId="0" fillId="3" borderId="0" xfId="0" applyNumberFormat="1" applyFill="1" applyBorder="1"/>
    <xf numFmtId="0" fontId="3" fillId="3" borderId="1" xfId="0" applyFont="1" applyFill="1" applyBorder="1" applyAlignment="1"/>
    <xf numFmtId="0" fontId="3" fillId="3" borderId="1" xfId="0" applyFont="1" applyFill="1" applyBorder="1" applyAlignment="1">
      <alignment horizontal="centerContinuous"/>
    </xf>
    <xf numFmtId="0" fontId="3" fillId="3" borderId="1" xfId="0" applyFont="1" applyFill="1" applyBorder="1" applyAlignment="1">
      <alignment horizontal="right"/>
    </xf>
    <xf numFmtId="0" fontId="3" fillId="3" borderId="2" xfId="0" applyFont="1" applyFill="1" applyBorder="1" applyAlignment="1"/>
    <xf numFmtId="0" fontId="3" fillId="3" borderId="2" xfId="0" applyFont="1" applyFill="1" applyBorder="1" applyAlignment="1">
      <alignment horizontal="right"/>
    </xf>
    <xf numFmtId="0" fontId="3" fillId="3" borderId="0" xfId="0" applyFont="1" applyFill="1" applyBorder="1" applyAlignment="1"/>
    <xf numFmtId="4" fontId="0" fillId="3" borderId="0" xfId="0" applyNumberFormat="1" applyFont="1" applyFill="1" applyBorder="1" applyAlignment="1"/>
    <xf numFmtId="4" fontId="0" fillId="3" borderId="0" xfId="0" applyNumberFormat="1" applyFill="1" applyBorder="1"/>
    <xf numFmtId="4" fontId="1" fillId="3" borderId="0" xfId="0" applyNumberFormat="1" applyFont="1" applyFill="1" applyBorder="1" applyAlignment="1"/>
    <xf numFmtId="0" fontId="2" fillId="3" borderId="0" xfId="0" applyFont="1" applyFill="1" applyBorder="1" applyAlignment="1">
      <alignment horizontal="left" indent="1"/>
    </xf>
    <xf numFmtId="0" fontId="0" fillId="3" borderId="0" xfId="0" applyFill="1" applyBorder="1" applyAlignment="1">
      <alignment horizontal="left" indent="1"/>
    </xf>
    <xf numFmtId="4" fontId="2" fillId="3" borderId="0" xfId="0" applyNumberFormat="1" applyFont="1" applyFill="1" applyBorder="1" applyAlignment="1"/>
    <xf numFmtId="0" fontId="0" fillId="3" borderId="0" xfId="0" applyFill="1" applyBorder="1" applyAlignment="1"/>
    <xf numFmtId="0" fontId="2" fillId="3" borderId="0" xfId="0" applyFont="1" applyFill="1" applyBorder="1" applyAlignment="1"/>
    <xf numFmtId="0" fontId="0" fillId="3" borderId="0" xfId="0" applyFont="1" applyFill="1" applyBorder="1" applyAlignment="1"/>
    <xf numFmtId="4" fontId="1" fillId="3" borderId="0" xfId="0" applyNumberFormat="1" applyFont="1" applyFill="1" applyBorder="1"/>
    <xf numFmtId="4" fontId="0" fillId="3" borderId="2" xfId="0" applyNumberFormat="1" applyFont="1" applyFill="1" applyBorder="1" applyAlignment="1"/>
    <xf numFmtId="4" fontId="5" fillId="3" borderId="0" xfId="0" applyNumberFormat="1" applyFont="1" applyFill="1" applyBorder="1" applyAlignment="1">
      <alignment horizontal="right"/>
    </xf>
    <xf numFmtId="4" fontId="3" fillId="3" borderId="0" xfId="0" applyNumberFormat="1" applyFont="1" applyFill="1" applyBorder="1"/>
    <xf numFmtId="1" fontId="0" fillId="3" borderId="0" xfId="0" applyNumberFormat="1" applyFill="1" applyBorder="1"/>
    <xf numFmtId="3" fontId="20" fillId="3" borderId="0" xfId="1" applyNumberFormat="1" applyFont="1" applyFill="1" applyAlignment="1">
      <alignment horizontal="left"/>
    </xf>
    <xf numFmtId="164" fontId="6" fillId="3" borderId="0" xfId="1" applyNumberFormat="1" applyFont="1" applyFill="1" applyAlignment="1">
      <alignment horizontal="center"/>
    </xf>
    <xf numFmtId="3" fontId="6" fillId="3" borderId="0" xfId="1" applyNumberFormat="1" applyFont="1" applyFill="1" applyAlignment="1"/>
    <xf numFmtId="0" fontId="6" fillId="3" borderId="0" xfId="1" applyFont="1" applyFill="1"/>
    <xf numFmtId="0" fontId="19" fillId="3" borderId="0" xfId="1" applyFont="1" applyFill="1"/>
    <xf numFmtId="164" fontId="19" fillId="3" borderId="0" xfId="1" applyNumberFormat="1" applyFont="1" applyFill="1"/>
    <xf numFmtId="3" fontId="19" fillId="3" borderId="0" xfId="1" applyNumberFormat="1" applyFont="1" applyFill="1" applyAlignment="1"/>
    <xf numFmtId="164" fontId="4" fillId="3" borderId="15" xfId="1" applyNumberFormat="1" applyFont="1" applyFill="1" applyBorder="1" applyAlignment="1">
      <alignment horizontal="center" vertical="center"/>
    </xf>
    <xf numFmtId="3" fontId="4" fillId="3" borderId="14" xfId="1" applyNumberFormat="1" applyFont="1" applyFill="1" applyBorder="1" applyAlignment="1">
      <alignment horizontal="center" vertical="center" wrapText="1"/>
    </xf>
    <xf numFmtId="3" fontId="4" fillId="3" borderId="17" xfId="1" applyNumberFormat="1" applyFont="1" applyFill="1" applyBorder="1" applyAlignment="1">
      <alignment horizontal="center" vertical="center" wrapText="1"/>
    </xf>
    <xf numFmtId="3" fontId="4" fillId="3" borderId="16" xfId="1" applyNumberFormat="1" applyFont="1" applyFill="1" applyBorder="1" applyAlignment="1">
      <alignment horizontal="center" vertical="center"/>
    </xf>
    <xf numFmtId="164" fontId="4" fillId="3" borderId="10" xfId="1" applyNumberFormat="1" applyFont="1" applyFill="1" applyBorder="1" applyAlignment="1">
      <alignment horizontal="center"/>
    </xf>
    <xf numFmtId="3" fontId="4" fillId="3" borderId="11" xfId="1" applyNumberFormat="1" applyFont="1" applyFill="1" applyBorder="1" applyAlignment="1">
      <alignment horizontal="center"/>
    </xf>
    <xf numFmtId="3" fontId="4" fillId="3" borderId="18" xfId="1" applyNumberFormat="1" applyFont="1" applyFill="1" applyBorder="1" applyAlignment="1">
      <alignment horizontal="center"/>
    </xf>
    <xf numFmtId="3" fontId="4" fillId="3" borderId="9" xfId="1" applyNumberFormat="1" applyFont="1" applyFill="1" applyBorder="1" applyAlignment="1">
      <alignment horizontal="center"/>
    </xf>
    <xf numFmtId="0" fontId="8" fillId="3" borderId="3" xfId="1" applyFont="1" applyFill="1" applyBorder="1" applyAlignment="1">
      <alignment horizontal="center"/>
    </xf>
    <xf numFmtId="4" fontId="21" fillId="3" borderId="4" xfId="1" applyNumberFormat="1" applyFont="1" applyFill="1" applyBorder="1" applyAlignment="1">
      <alignment horizontal="right" vertical="center"/>
    </xf>
    <xf numFmtId="4" fontId="21" fillId="3" borderId="5" xfId="1" applyNumberFormat="1" applyFont="1" applyFill="1" applyBorder="1" applyAlignment="1">
      <alignment horizontal="right" vertical="center"/>
    </xf>
    <xf numFmtId="4" fontId="21" fillId="3" borderId="19" xfId="1" applyNumberFormat="1" applyFont="1" applyFill="1" applyBorder="1" applyAlignment="1">
      <alignment horizontal="right" vertical="center"/>
    </xf>
    <xf numFmtId="4" fontId="21" fillId="3" borderId="3" xfId="1" applyNumberFormat="1" applyFont="1" applyFill="1" applyBorder="1" applyAlignment="1">
      <alignment horizontal="right" vertical="center"/>
    </xf>
    <xf numFmtId="0" fontId="8" fillId="3" borderId="6" xfId="1" applyFont="1" applyFill="1" applyBorder="1" applyAlignment="1">
      <alignment horizontal="center"/>
    </xf>
    <xf numFmtId="164" fontId="6" fillId="3" borderId="0" xfId="1" applyNumberFormat="1" applyFont="1" applyFill="1"/>
    <xf numFmtId="4" fontId="21" fillId="3" borderId="8" xfId="1" applyNumberFormat="1" applyFont="1" applyFill="1" applyBorder="1" applyAlignment="1">
      <alignment horizontal="right" vertical="center"/>
    </xf>
    <xf numFmtId="4" fontId="21" fillId="3" borderId="7" xfId="1" applyNumberFormat="1" applyFont="1" applyFill="1" applyBorder="1" applyAlignment="1">
      <alignment horizontal="right" vertical="center"/>
    </xf>
    <xf numFmtId="0" fontId="8" fillId="3" borderId="9" xfId="1" applyFont="1" applyFill="1" applyBorder="1" applyAlignment="1">
      <alignment horizontal="center"/>
    </xf>
    <xf numFmtId="4" fontId="21" fillId="3" borderId="10" xfId="1" applyNumberFormat="1" applyFont="1" applyFill="1" applyBorder="1" applyAlignment="1">
      <alignment horizontal="right" vertical="center"/>
    </xf>
    <xf numFmtId="4" fontId="21" fillId="3" borderId="11" xfId="1" applyNumberFormat="1" applyFont="1" applyFill="1" applyBorder="1" applyAlignment="1">
      <alignment horizontal="right" vertical="center"/>
    </xf>
    <xf numFmtId="4" fontId="21" fillId="3" borderId="21" xfId="1" applyNumberFormat="1" applyFont="1" applyFill="1" applyBorder="1" applyAlignment="1">
      <alignment horizontal="right" vertical="center"/>
    </xf>
    <xf numFmtId="4" fontId="21" fillId="3" borderId="9" xfId="1" applyNumberFormat="1" applyFont="1" applyFill="1" applyBorder="1" applyAlignment="1">
      <alignment horizontal="right" vertical="center"/>
    </xf>
    <xf numFmtId="0" fontId="2" fillId="3" borderId="0" xfId="1" applyFont="1" applyFill="1"/>
    <xf numFmtId="164" fontId="2" fillId="3" borderId="0" xfId="1" applyNumberFormat="1" applyFont="1" applyFill="1"/>
    <xf numFmtId="3" fontId="6" fillId="3" borderId="0" xfId="1" applyNumberFormat="1" applyFont="1" applyFill="1"/>
    <xf numFmtId="3" fontId="2" fillId="3" borderId="0" xfId="1" applyNumberFormat="1" applyFont="1" applyFill="1" applyAlignment="1"/>
    <xf numFmtId="3" fontId="2" fillId="3" borderId="0" xfId="1" applyNumberFormat="1" applyFont="1" applyFill="1"/>
    <xf numFmtId="0" fontId="22" fillId="3" borderId="0" xfId="0" applyFont="1" applyFill="1" applyBorder="1" applyAlignment="1"/>
    <xf numFmtId="0" fontId="25" fillId="3" borderId="0" xfId="0" applyFont="1" applyFill="1" applyBorder="1"/>
    <xf numFmtId="0" fontId="21" fillId="3" borderId="0" xfId="0" applyFont="1" applyFill="1" applyBorder="1"/>
    <xf numFmtId="0" fontId="1" fillId="3" borderId="0" xfId="0" applyFont="1" applyFill="1" applyBorder="1" applyAlignment="1">
      <alignment horizontal="center" vertical="center"/>
    </xf>
    <xf numFmtId="0" fontId="28" fillId="3" borderId="0" xfId="0" applyFont="1" applyFill="1" applyBorder="1" applyAlignment="1"/>
    <xf numFmtId="0" fontId="4" fillId="3" borderId="20" xfId="0" applyFont="1" applyFill="1" applyBorder="1" applyAlignment="1">
      <alignment horizontal="center" vertical="center"/>
    </xf>
    <xf numFmtId="0" fontId="4" fillId="3" borderId="2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 xfId="0" applyFont="1" applyFill="1" applyBorder="1" applyAlignment="1">
      <alignment horizontal="center"/>
    </xf>
    <xf numFmtId="3" fontId="19" fillId="3" borderId="23" xfId="0" applyNumberFormat="1" applyFont="1" applyFill="1" applyBorder="1"/>
    <xf numFmtId="3" fontId="19" fillId="3" borderId="3" xfId="0" applyNumberFormat="1" applyFont="1" applyFill="1" applyBorder="1"/>
    <xf numFmtId="3" fontId="19" fillId="3" borderId="27" xfId="0" applyNumberFormat="1" applyFont="1" applyFill="1" applyBorder="1"/>
    <xf numFmtId="0" fontId="4" fillId="3" borderId="3" xfId="0" applyFont="1" applyFill="1" applyBorder="1" applyAlignment="1">
      <alignment horizontal="center" vertical="center"/>
    </xf>
    <xf numFmtId="3" fontId="19" fillId="3" borderId="4" xfId="0" applyNumberFormat="1" applyFont="1" applyFill="1" applyBorder="1" applyAlignment="1">
      <alignment horizontal="right" vertical="center"/>
    </xf>
    <xf numFmtId="3" fontId="19" fillId="3" borderId="5" xfId="0" applyNumberFormat="1" applyFont="1" applyFill="1" applyBorder="1" applyAlignment="1">
      <alignment horizontal="right" vertical="center"/>
    </xf>
    <xf numFmtId="0" fontId="4" fillId="3" borderId="6" xfId="0" applyFont="1" applyFill="1" applyBorder="1" applyAlignment="1">
      <alignment horizontal="center"/>
    </xf>
    <xf numFmtId="3" fontId="19" fillId="3" borderId="24" xfId="0" applyNumberFormat="1" applyFont="1" applyFill="1" applyBorder="1"/>
    <xf numFmtId="3" fontId="19" fillId="3" borderId="6" xfId="0" applyNumberFormat="1" applyFont="1" applyFill="1" applyBorder="1"/>
    <xf numFmtId="3" fontId="19" fillId="3" borderId="28" xfId="0" applyNumberFormat="1" applyFont="1" applyFill="1" applyBorder="1"/>
    <xf numFmtId="0" fontId="4" fillId="3" borderId="6" xfId="0" applyFont="1" applyFill="1" applyBorder="1" applyAlignment="1">
      <alignment horizontal="center" vertical="center"/>
    </xf>
    <xf numFmtId="3" fontId="19" fillId="3" borderId="7" xfId="0" applyNumberFormat="1" applyFont="1" applyFill="1" applyBorder="1" applyAlignment="1">
      <alignment horizontal="right" vertical="center"/>
    </xf>
    <xf numFmtId="3" fontId="19" fillId="3" borderId="8" xfId="0" applyNumberFormat="1" applyFont="1" applyFill="1" applyBorder="1" applyAlignment="1">
      <alignment horizontal="right" vertical="center"/>
    </xf>
    <xf numFmtId="0" fontId="4" fillId="3" borderId="9" xfId="0" applyFont="1" applyFill="1" applyBorder="1" applyAlignment="1">
      <alignment horizontal="center"/>
    </xf>
    <xf numFmtId="3" fontId="19" fillId="3" borderId="25" xfId="0" applyNumberFormat="1" applyFont="1" applyFill="1" applyBorder="1"/>
    <xf numFmtId="3" fontId="19" fillId="3" borderId="9" xfId="0" applyNumberFormat="1" applyFont="1" applyFill="1" applyBorder="1"/>
    <xf numFmtId="3" fontId="19" fillId="3" borderId="29" xfId="0" applyNumberFormat="1" applyFont="1" applyFill="1" applyBorder="1"/>
    <xf numFmtId="0" fontId="4" fillId="3" borderId="9" xfId="0" applyFont="1" applyFill="1" applyBorder="1" applyAlignment="1">
      <alignment horizontal="center" vertical="center"/>
    </xf>
    <xf numFmtId="3" fontId="19" fillId="3" borderId="10" xfId="0" applyNumberFormat="1" applyFont="1" applyFill="1" applyBorder="1" applyAlignment="1">
      <alignment horizontal="right" vertical="center"/>
    </xf>
    <xf numFmtId="3" fontId="19" fillId="3" borderId="11" xfId="0" applyNumberFormat="1" applyFont="1" applyFill="1" applyBorder="1" applyAlignment="1">
      <alignment horizontal="right" vertical="center"/>
    </xf>
    <xf numFmtId="0" fontId="2" fillId="3" borderId="0" xfId="0" applyFont="1" applyFill="1" applyBorder="1" applyAlignment="1">
      <alignment horizontal="right"/>
    </xf>
    <xf numFmtId="0" fontId="1" fillId="2" borderId="8" xfId="1" applyFont="1" applyFill="1" applyBorder="1" applyAlignment="1">
      <alignment horizontal="left"/>
    </xf>
    <xf numFmtId="0" fontId="19" fillId="3" borderId="0" xfId="0" applyFont="1" applyFill="1" applyBorder="1" applyAlignment="1">
      <alignment horizontal="center" vertical="center"/>
    </xf>
    <xf numFmtId="3" fontId="19" fillId="3" borderId="0" xfId="0" applyNumberFormat="1" applyFont="1" applyFill="1" applyBorder="1" applyAlignment="1">
      <alignment horizontal="center" vertical="center"/>
    </xf>
    <xf numFmtId="0" fontId="2" fillId="0" borderId="0" xfId="1" applyFont="1"/>
    <xf numFmtId="4" fontId="3" fillId="3" borderId="8" xfId="1" applyNumberFormat="1" applyFont="1" applyFill="1" applyBorder="1" applyAlignment="1"/>
    <xf numFmtId="0" fontId="19" fillId="4" borderId="0" xfId="0" applyFont="1" applyFill="1" applyBorder="1" applyAlignment="1">
      <alignment horizontal="center" vertical="center"/>
    </xf>
    <xf numFmtId="3" fontId="19" fillId="4" borderId="0" xfId="0" applyNumberFormat="1" applyFont="1" applyFill="1" applyBorder="1"/>
    <xf numFmtId="4" fontId="0" fillId="4" borderId="0" xfId="0" applyNumberFormat="1" applyFont="1" applyFill="1" applyBorder="1" applyAlignment="1"/>
    <xf numFmtId="0" fontId="2" fillId="4" borderId="2" xfId="0" applyFont="1" applyFill="1" applyBorder="1" applyAlignment="1"/>
    <xf numFmtId="4" fontId="0" fillId="4" borderId="2" xfId="0" applyNumberFormat="1" applyFont="1" applyFill="1" applyBorder="1" applyAlignment="1"/>
    <xf numFmtId="0" fontId="0" fillId="4" borderId="2" xfId="0" applyFill="1" applyBorder="1" applyAlignment="1"/>
    <xf numFmtId="167" fontId="19" fillId="3" borderId="0" xfId="0" applyNumberFormat="1" applyFont="1" applyFill="1" applyBorder="1"/>
    <xf numFmtId="2" fontId="2" fillId="4" borderId="0" xfId="1" applyNumberFormat="1" applyFont="1" applyFill="1"/>
    <xf numFmtId="0" fontId="2" fillId="4" borderId="0" xfId="1" applyFont="1" applyFill="1"/>
    <xf numFmtId="0" fontId="2" fillId="4" borderId="0" xfId="0" applyFont="1" applyFill="1" applyBorder="1" applyAlignment="1"/>
    <xf numFmtId="0" fontId="27" fillId="3" borderId="0" xfId="0" applyFont="1" applyFill="1" applyBorder="1" applyAlignment="1">
      <alignment horizontal="center"/>
    </xf>
    <xf numFmtId="0" fontId="17" fillId="3" borderId="0" xfId="0" applyFont="1" applyFill="1" applyBorder="1" applyAlignment="1">
      <alignment horizontal="center"/>
    </xf>
    <xf numFmtId="0" fontId="13" fillId="3" borderId="0" xfId="0" applyFont="1" applyFill="1" applyBorder="1" applyAlignment="1">
      <alignment horizontal="center"/>
    </xf>
    <xf numFmtId="0" fontId="23" fillId="3" borderId="0" xfId="0" applyFont="1" applyFill="1" applyBorder="1" applyAlignment="1">
      <alignment horizontal="center"/>
    </xf>
    <xf numFmtId="0" fontId="10" fillId="3" borderId="0" xfId="0" applyFont="1" applyFill="1" applyBorder="1" applyAlignment="1">
      <alignment horizontal="center"/>
    </xf>
    <xf numFmtId="0" fontId="30" fillId="3" borderId="0" xfId="0" applyFont="1" applyFill="1" applyBorder="1" applyAlignment="1">
      <alignment horizontal="center"/>
    </xf>
    <xf numFmtId="0" fontId="29" fillId="0" borderId="0" xfId="0" applyFont="1" applyAlignment="1">
      <alignment horizontal="left" vertical="top" wrapText="1"/>
    </xf>
    <xf numFmtId="0" fontId="18" fillId="3" borderId="0" xfId="0" applyFont="1" applyFill="1" applyBorder="1" applyAlignment="1">
      <alignment horizontal="center"/>
    </xf>
    <xf numFmtId="0" fontId="4" fillId="3" borderId="0" xfId="0" applyFont="1" applyFill="1" applyBorder="1" applyAlignment="1">
      <alignment horizontal="left"/>
    </xf>
    <xf numFmtId="0" fontId="19" fillId="3" borderId="12" xfId="0" applyFont="1" applyFill="1" applyBorder="1" applyAlignment="1">
      <alignment horizontal="left"/>
    </xf>
    <xf numFmtId="0" fontId="19" fillId="3" borderId="7" xfId="0" applyFont="1" applyFill="1" applyBorder="1" applyAlignment="1">
      <alignment horizontal="left"/>
    </xf>
    <xf numFmtId="0" fontId="2" fillId="3" borderId="0" xfId="0" applyFont="1" applyFill="1" applyBorder="1" applyAlignment="1">
      <alignment horizontal="right"/>
    </xf>
    <xf numFmtId="0" fontId="4" fillId="3" borderId="13" xfId="0" applyFont="1" applyFill="1" applyBorder="1" applyAlignment="1">
      <alignment horizontal="center"/>
    </xf>
    <xf numFmtId="0" fontId="4" fillId="2" borderId="13" xfId="0" applyFont="1" applyFill="1" applyBorder="1" applyAlignment="1">
      <alignment horizontal="center"/>
    </xf>
    <xf numFmtId="0" fontId="8" fillId="0" borderId="8" xfId="1" applyFont="1" applyFill="1" applyBorder="1" applyAlignment="1">
      <alignment horizontal="center" vertical="center"/>
    </xf>
    <xf numFmtId="3" fontId="8" fillId="0" borderId="8" xfId="1" applyNumberFormat="1" applyFont="1" applyFill="1" applyBorder="1" applyAlignment="1">
      <alignment horizontal="center" vertical="center"/>
    </xf>
    <xf numFmtId="0" fontId="3" fillId="3" borderId="8" xfId="1" applyFont="1" applyFill="1" applyBorder="1" applyAlignment="1">
      <alignment horizontal="left"/>
    </xf>
    <xf numFmtId="0" fontId="1" fillId="2" borderId="8" xfId="1" applyFont="1" applyFill="1" applyBorder="1" applyAlignment="1">
      <alignment horizontal="left"/>
    </xf>
    <xf numFmtId="0" fontId="3" fillId="2" borderId="8" xfId="1" applyFont="1" applyFill="1" applyBorder="1" applyAlignment="1">
      <alignment horizontal="left"/>
    </xf>
    <xf numFmtId="0" fontId="4" fillId="3" borderId="16" xfId="1" applyFont="1" applyFill="1" applyBorder="1" applyAlignment="1">
      <alignment horizontal="center" vertical="center"/>
    </xf>
    <xf numFmtId="0" fontId="4" fillId="3" borderId="9" xfId="1" applyFont="1" applyFill="1" applyBorder="1" applyAlignment="1">
      <alignment horizontal="center" vertical="center"/>
    </xf>
    <xf numFmtId="0" fontId="4" fillId="2" borderId="0" xfId="1" applyFont="1" applyFill="1" applyBorder="1" applyAlignment="1">
      <alignment horizontal="center"/>
    </xf>
  </cellXfs>
  <cellStyles count="2">
    <cellStyle name="Normal" xfId="0" builtinId="0"/>
    <cellStyle name="Normal_Modelo Silvo Pastori ACT abril 200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89647</xdr:colOff>
      <xdr:row>47</xdr:row>
      <xdr:rowOff>56030</xdr:rowOff>
    </xdr:from>
    <xdr:to>
      <xdr:col>7</xdr:col>
      <xdr:colOff>615107</xdr:colOff>
      <xdr:row>55</xdr:row>
      <xdr:rowOff>33618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28147" y="9379324"/>
          <a:ext cx="4514754" cy="12326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I11" sqref="I11"/>
    </sheetView>
  </sheetViews>
  <sheetFormatPr baseColWidth="10" defaultRowHeight="12.75" x14ac:dyDescent="0.2"/>
  <cols>
    <col min="1" max="5" width="11.42578125" style="2"/>
    <col min="6" max="6" width="15" style="2" customWidth="1"/>
    <col min="7" max="16384" width="11.42578125" style="2"/>
  </cols>
  <sheetData>
    <row r="1" spans="1:6" ht="19.5" x14ac:dyDescent="0.25">
      <c r="A1" s="56"/>
      <c r="B1" s="57"/>
      <c r="C1" s="57"/>
      <c r="D1" s="57"/>
      <c r="E1" s="57"/>
      <c r="F1" s="57"/>
    </row>
    <row r="2" spans="1:6" ht="19.5" x14ac:dyDescent="0.25">
      <c r="A2" s="56"/>
      <c r="B2" s="57"/>
      <c r="C2" s="57"/>
      <c r="D2" s="57"/>
      <c r="E2" s="57"/>
      <c r="F2" s="57"/>
    </row>
    <row r="3" spans="1:6" ht="19.5" x14ac:dyDescent="0.25">
      <c r="A3" s="56"/>
      <c r="B3" s="57"/>
      <c r="C3" s="57"/>
      <c r="D3" s="57"/>
      <c r="E3" s="57"/>
      <c r="F3" s="57"/>
    </row>
    <row r="4" spans="1:6" x14ac:dyDescent="0.2">
      <c r="A4" s="58"/>
      <c r="B4" s="58"/>
      <c r="C4" s="58"/>
      <c r="D4" s="58"/>
      <c r="E4" s="58"/>
      <c r="F4" s="58"/>
    </row>
    <row r="5" spans="1:6" x14ac:dyDescent="0.2">
      <c r="A5" s="58"/>
      <c r="B5" s="58"/>
      <c r="C5" s="58"/>
      <c r="D5" s="58"/>
      <c r="E5" s="58"/>
      <c r="F5" s="58"/>
    </row>
    <row r="6" spans="1:6" x14ac:dyDescent="0.2">
      <c r="A6" s="58"/>
      <c r="B6" s="58"/>
      <c r="C6" s="58"/>
      <c r="D6" s="58"/>
      <c r="E6" s="58"/>
      <c r="F6" s="58"/>
    </row>
    <row r="7" spans="1:6" s="3" customFormat="1" ht="30" x14ac:dyDescent="0.4">
      <c r="A7" s="59" t="s">
        <v>32</v>
      </c>
      <c r="B7" s="60"/>
      <c r="C7" s="60"/>
      <c r="D7" s="60"/>
      <c r="E7" s="60"/>
      <c r="F7" s="60"/>
    </row>
    <row r="8" spans="1:6" s="3" customFormat="1" ht="30" x14ac:dyDescent="0.4">
      <c r="A8" s="206"/>
      <c r="B8" s="206"/>
      <c r="C8" s="206"/>
      <c r="D8" s="206"/>
      <c r="E8" s="206"/>
      <c r="F8" s="206"/>
    </row>
    <row r="9" spans="1:6" s="3" customFormat="1" ht="30" x14ac:dyDescent="0.4">
      <c r="A9" s="206"/>
      <c r="B9" s="206"/>
      <c r="C9" s="206"/>
      <c r="D9" s="206"/>
      <c r="E9" s="206"/>
      <c r="F9" s="206"/>
    </row>
    <row r="10" spans="1:6" s="3" customFormat="1" ht="30" x14ac:dyDescent="0.4">
      <c r="A10" s="59"/>
      <c r="B10" s="60"/>
      <c r="C10" s="60"/>
      <c r="D10" s="60"/>
      <c r="E10" s="60"/>
      <c r="F10" s="60"/>
    </row>
    <row r="11" spans="1:6" s="3" customFormat="1" ht="32.25" x14ac:dyDescent="0.4">
      <c r="A11" s="61"/>
      <c r="B11" s="62"/>
      <c r="C11" s="62"/>
      <c r="D11" s="62"/>
      <c r="E11" s="62"/>
      <c r="F11" s="62"/>
    </row>
    <row r="12" spans="1:6" s="3" customFormat="1" ht="32.25" x14ac:dyDescent="0.4">
      <c r="A12" s="61"/>
      <c r="B12" s="62"/>
      <c r="C12" s="62"/>
      <c r="D12" s="62"/>
      <c r="E12" s="62"/>
      <c r="F12" s="62"/>
    </row>
    <row r="13" spans="1:6" s="3" customFormat="1" ht="23.25" x14ac:dyDescent="0.35">
      <c r="A13" s="60"/>
      <c r="B13" s="60"/>
      <c r="C13" s="60"/>
      <c r="D13" s="60"/>
      <c r="E13" s="60"/>
      <c r="F13" s="60"/>
    </row>
    <row r="14" spans="1:6" ht="19.5" x14ac:dyDescent="0.25">
      <c r="A14" s="56"/>
      <c r="B14" s="57"/>
      <c r="C14" s="57"/>
      <c r="D14" s="57"/>
      <c r="E14" s="57"/>
      <c r="F14" s="57"/>
    </row>
    <row r="15" spans="1:6" ht="27" x14ac:dyDescent="0.35">
      <c r="A15" s="207" t="s">
        <v>33</v>
      </c>
      <c r="B15" s="207"/>
      <c r="C15" s="207"/>
      <c r="D15" s="207"/>
      <c r="E15" s="207"/>
      <c r="F15" s="207"/>
    </row>
    <row r="16" spans="1:6" ht="19.5" x14ac:dyDescent="0.25">
      <c r="A16" s="208" t="s">
        <v>156</v>
      </c>
      <c r="B16" s="208"/>
      <c r="C16" s="208"/>
      <c r="D16" s="208"/>
      <c r="E16" s="208"/>
      <c r="F16" s="208"/>
    </row>
    <row r="17" spans="1:6" ht="15" x14ac:dyDescent="0.2">
      <c r="A17" s="209" t="s">
        <v>157</v>
      </c>
      <c r="B17" s="204"/>
      <c r="C17" s="204"/>
      <c r="D17" s="204"/>
      <c r="E17" s="204"/>
      <c r="F17" s="204"/>
    </row>
    <row r="18" spans="1:6" ht="19.5" x14ac:dyDescent="0.25">
      <c r="A18" s="63"/>
      <c r="B18" s="57"/>
      <c r="C18" s="57"/>
      <c r="D18" s="57"/>
      <c r="E18" s="57"/>
      <c r="F18" s="57"/>
    </row>
    <row r="19" spans="1:6" ht="19.5" x14ac:dyDescent="0.25">
      <c r="A19" s="63"/>
      <c r="B19" s="57"/>
      <c r="C19" s="57"/>
      <c r="D19" s="57"/>
      <c r="E19" s="57"/>
      <c r="F19" s="57"/>
    </row>
    <row r="20" spans="1:6" ht="19.5" x14ac:dyDescent="0.25">
      <c r="A20" s="63"/>
      <c r="B20" s="57"/>
      <c r="C20" s="57"/>
      <c r="D20" s="57"/>
      <c r="E20" s="57"/>
      <c r="F20" s="57"/>
    </row>
    <row r="21" spans="1:6" ht="19.5" x14ac:dyDescent="0.25">
      <c r="A21" s="63"/>
      <c r="B21" s="57"/>
      <c r="C21" s="57"/>
      <c r="D21" s="57"/>
      <c r="E21" s="57"/>
      <c r="F21" s="57"/>
    </row>
    <row r="22" spans="1:6" ht="19.5" x14ac:dyDescent="0.25">
      <c r="A22" s="63"/>
      <c r="B22" s="57"/>
      <c r="C22" s="57"/>
      <c r="D22" s="57"/>
      <c r="E22" s="57"/>
      <c r="F22" s="57"/>
    </row>
    <row r="23" spans="1:6" ht="19.5" x14ac:dyDescent="0.25">
      <c r="A23" s="63"/>
      <c r="B23" s="57"/>
      <c r="C23" s="57"/>
      <c r="D23" s="57"/>
      <c r="E23" s="57"/>
      <c r="F23" s="57"/>
    </row>
    <row r="24" spans="1:6" ht="19.5" x14ac:dyDescent="0.25">
      <c r="A24" s="63"/>
      <c r="B24" s="57"/>
      <c r="C24" s="57"/>
      <c r="D24" s="57"/>
      <c r="E24" s="57"/>
      <c r="F24" s="57"/>
    </row>
    <row r="25" spans="1:6" ht="19.5" x14ac:dyDescent="0.25">
      <c r="A25" s="56"/>
      <c r="B25" s="57"/>
      <c r="C25" s="57"/>
      <c r="D25" s="57"/>
      <c r="E25" s="57"/>
      <c r="F25" s="57"/>
    </row>
    <row r="26" spans="1:6" ht="22.5" x14ac:dyDescent="0.3">
      <c r="A26" s="205" t="s">
        <v>105</v>
      </c>
      <c r="B26" s="205"/>
      <c r="C26" s="205"/>
      <c r="D26" s="205"/>
      <c r="E26" s="205"/>
      <c r="F26" s="205"/>
    </row>
    <row r="27" spans="1:6" ht="15" x14ac:dyDescent="0.2">
      <c r="A27" s="204"/>
      <c r="B27" s="204"/>
      <c r="C27" s="204"/>
      <c r="D27" s="204"/>
      <c r="E27" s="204"/>
      <c r="F27" s="204"/>
    </row>
    <row r="28" spans="1:6" ht="15" x14ac:dyDescent="0.2">
      <c r="A28" s="204"/>
      <c r="B28" s="204"/>
      <c r="C28" s="204"/>
      <c r="D28" s="204"/>
      <c r="E28" s="204"/>
      <c r="F28" s="204"/>
    </row>
  </sheetData>
  <mergeCells count="8">
    <mergeCell ref="A28:F28"/>
    <mergeCell ref="A26:F26"/>
    <mergeCell ref="A27:F27"/>
    <mergeCell ref="A8:F8"/>
    <mergeCell ref="A9:F9"/>
    <mergeCell ref="A15:F15"/>
    <mergeCell ref="A16:F16"/>
    <mergeCell ref="A17:F17"/>
  </mergeCells>
  <phoneticPr fontId="0" type="noConversion"/>
  <printOptions horizontalCentered="1" verticalCentered="1"/>
  <pageMargins left="1.2" right="0.78740157480314965" top="0.68" bottom="0.64" header="0.51181102362204722" footer="0.51181102362204722"/>
  <pageSetup paperSize="9" orientation="portrait" horizontalDpi="36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tabSelected="1" zoomScale="85" workbookViewId="0">
      <selection activeCell="P23" sqref="P23"/>
    </sheetView>
  </sheetViews>
  <sheetFormatPr baseColWidth="10" defaultColWidth="10.28515625" defaultRowHeight="12.75" x14ac:dyDescent="0.2"/>
  <cols>
    <col min="1" max="1" width="10.7109375" style="18" customWidth="1"/>
    <col min="2" max="2" width="4.7109375" style="15" bestFit="1" customWidth="1"/>
    <col min="3" max="3" width="10.7109375" style="15" customWidth="1"/>
    <col min="4" max="5" width="14.140625" style="15" customWidth="1"/>
    <col min="6" max="6" width="15.7109375" style="36" customWidth="1"/>
    <col min="7" max="16384" width="10.28515625" style="18"/>
  </cols>
  <sheetData>
    <row r="1" spans="1:6" ht="20.25" x14ac:dyDescent="0.3">
      <c r="A1" s="23" t="s">
        <v>42</v>
      </c>
      <c r="B1" s="24"/>
      <c r="C1" s="24"/>
      <c r="D1" s="24"/>
      <c r="E1" s="24"/>
      <c r="F1" s="24"/>
    </row>
    <row r="2" spans="1:6" ht="15" x14ac:dyDescent="0.2">
      <c r="B2" s="17"/>
      <c r="C2" s="17"/>
      <c r="D2" s="17"/>
      <c r="E2" s="17"/>
      <c r="F2" s="16"/>
    </row>
    <row r="3" spans="1:6" s="37" customFormat="1" ht="39" customHeight="1" x14ac:dyDescent="0.25">
      <c r="A3" s="218" t="s">
        <v>26</v>
      </c>
      <c r="B3" s="219" t="s">
        <v>51</v>
      </c>
      <c r="C3" s="219"/>
      <c r="D3" s="65" t="s">
        <v>50</v>
      </c>
      <c r="E3" s="65" t="s">
        <v>131</v>
      </c>
      <c r="F3" s="50" t="s">
        <v>130</v>
      </c>
    </row>
    <row r="4" spans="1:6" s="37" customFormat="1" ht="18" x14ac:dyDescent="0.25">
      <c r="A4" s="218"/>
      <c r="B4" s="49" t="s">
        <v>43</v>
      </c>
      <c r="C4" s="49" t="s">
        <v>44</v>
      </c>
      <c r="D4" s="49" t="s">
        <v>44</v>
      </c>
      <c r="E4" s="64" t="s">
        <v>44</v>
      </c>
      <c r="F4" s="51" t="s">
        <v>44</v>
      </c>
    </row>
    <row r="5" spans="1:6" s="37" customFormat="1" ht="18" x14ac:dyDescent="0.25">
      <c r="A5" s="52">
        <v>1</v>
      </c>
      <c r="B5" s="53">
        <v>1</v>
      </c>
      <c r="C5" s="54">
        <f>+B5*'A1'!I17</f>
        <v>57424.859424259266</v>
      </c>
      <c r="D5" s="54"/>
      <c r="E5" s="54">
        <f>+C5*0.12</f>
        <v>6890.9831309111114</v>
      </c>
      <c r="F5" s="55">
        <f>SUM(C5:E5)</f>
        <v>64315.842555170377</v>
      </c>
    </row>
    <row r="6" spans="1:6" s="37" customFormat="1" ht="18" x14ac:dyDescent="0.25">
      <c r="A6" s="52">
        <v>2</v>
      </c>
      <c r="B6" s="53"/>
      <c r="C6" s="54"/>
      <c r="D6" s="54">
        <f>+'A2'!I8*B5</f>
        <v>13540.321622333333</v>
      </c>
      <c r="E6" s="54">
        <f>+D6*0.12</f>
        <v>1624.8385946799999</v>
      </c>
      <c r="F6" s="55">
        <f t="shared" ref="F6:F19" si="0">SUM(C6:E6)</f>
        <v>15165.160217013334</v>
      </c>
    </row>
    <row r="7" spans="1:6" s="37" customFormat="1" ht="18" x14ac:dyDescent="0.25">
      <c r="A7" s="52">
        <v>3</v>
      </c>
      <c r="B7" s="53"/>
      <c r="C7" s="54"/>
      <c r="D7" s="54">
        <f>+'A3'!I8*B5</f>
        <v>14577.033822333335</v>
      </c>
      <c r="E7" s="54">
        <f t="shared" ref="E7:E19" si="1">+D7*0.12</f>
        <v>1749.2440586800001</v>
      </c>
      <c r="F7" s="55">
        <f t="shared" si="0"/>
        <v>16326.277881013335</v>
      </c>
    </row>
    <row r="8" spans="1:6" s="37" customFormat="1" ht="18" x14ac:dyDescent="0.25">
      <c r="A8" s="52">
        <v>4</v>
      </c>
      <c r="B8" s="53"/>
      <c r="C8" s="54"/>
      <c r="D8" s="54">
        <f>+'A4-5'!I8*B5</f>
        <v>15639.498622333333</v>
      </c>
      <c r="E8" s="54">
        <f t="shared" si="1"/>
        <v>1876.7398346799998</v>
      </c>
      <c r="F8" s="55">
        <f t="shared" si="0"/>
        <v>17516.238457013333</v>
      </c>
    </row>
    <row r="9" spans="1:6" s="37" customFormat="1" ht="18" x14ac:dyDescent="0.25">
      <c r="A9" s="52">
        <v>5</v>
      </c>
      <c r="B9" s="53"/>
      <c r="C9" s="54"/>
      <c r="D9" s="54">
        <f>'A4-5'!I8*B5</f>
        <v>15639.498622333333</v>
      </c>
      <c r="E9" s="54">
        <f t="shared" si="1"/>
        <v>1876.7398346799998</v>
      </c>
      <c r="F9" s="55">
        <f t="shared" si="0"/>
        <v>17516.238457013333</v>
      </c>
    </row>
    <row r="10" spans="1:6" s="37" customFormat="1" ht="18" x14ac:dyDescent="0.25">
      <c r="A10" s="52">
        <v>6</v>
      </c>
      <c r="B10" s="53"/>
      <c r="C10" s="54"/>
      <c r="D10" s="54">
        <f>'A6'!I8*B5</f>
        <v>14603.377063226668</v>
      </c>
      <c r="E10" s="54">
        <f t="shared" si="1"/>
        <v>1752.4052475872002</v>
      </c>
      <c r="F10" s="55">
        <f t="shared" si="0"/>
        <v>16355.782310813867</v>
      </c>
    </row>
    <row r="11" spans="1:6" s="37" customFormat="1" ht="18" x14ac:dyDescent="0.25">
      <c r="A11" s="52">
        <v>7</v>
      </c>
      <c r="B11" s="53"/>
      <c r="C11" s="54"/>
      <c r="D11" s="54">
        <f>'A7-15'!I7*B5</f>
        <v>7195.3770632266669</v>
      </c>
      <c r="E11" s="54">
        <f t="shared" si="1"/>
        <v>863.44524758720002</v>
      </c>
      <c r="F11" s="55">
        <f t="shared" si="0"/>
        <v>8058.8223108138673</v>
      </c>
    </row>
    <row r="12" spans="1:6" s="37" customFormat="1" ht="18" x14ac:dyDescent="0.25">
      <c r="A12" s="52">
        <v>8</v>
      </c>
      <c r="B12" s="53"/>
      <c r="C12" s="54"/>
      <c r="D12" s="54">
        <f>'A7-15'!I$7*B5</f>
        <v>7195.3770632266669</v>
      </c>
      <c r="E12" s="54">
        <f t="shared" si="1"/>
        <v>863.44524758720002</v>
      </c>
      <c r="F12" s="55">
        <f t="shared" si="0"/>
        <v>8058.8223108138673</v>
      </c>
    </row>
    <row r="13" spans="1:6" s="37" customFormat="1" ht="18" x14ac:dyDescent="0.25">
      <c r="A13" s="52" t="s">
        <v>55</v>
      </c>
      <c r="B13" s="53"/>
      <c r="C13" s="54"/>
      <c r="D13" s="54">
        <f>'A7-15'!I$7*B$5</f>
        <v>7195.3770632266669</v>
      </c>
      <c r="E13" s="54">
        <f t="shared" si="1"/>
        <v>863.44524758720002</v>
      </c>
      <c r="F13" s="55">
        <f t="shared" si="0"/>
        <v>8058.8223108138673</v>
      </c>
    </row>
    <row r="14" spans="1:6" s="37" customFormat="1" ht="18" x14ac:dyDescent="0.25">
      <c r="A14" s="52">
        <v>10</v>
      </c>
      <c r="B14" s="53"/>
      <c r="C14" s="54"/>
      <c r="D14" s="54">
        <f>'A7-15'!I$7*B$5</f>
        <v>7195.3770632266669</v>
      </c>
      <c r="E14" s="54">
        <f t="shared" si="1"/>
        <v>863.44524758720002</v>
      </c>
      <c r="F14" s="55">
        <f t="shared" si="0"/>
        <v>8058.8223108138673</v>
      </c>
    </row>
    <row r="15" spans="1:6" s="37" customFormat="1" ht="18" x14ac:dyDescent="0.25">
      <c r="A15" s="52">
        <v>11</v>
      </c>
      <c r="B15" s="53"/>
      <c r="C15" s="54"/>
      <c r="D15" s="54">
        <f>'A7-15'!I$7*B$5</f>
        <v>7195.3770632266669</v>
      </c>
      <c r="E15" s="54">
        <f t="shared" si="1"/>
        <v>863.44524758720002</v>
      </c>
      <c r="F15" s="55">
        <f t="shared" si="0"/>
        <v>8058.8223108138673</v>
      </c>
    </row>
    <row r="16" spans="1:6" s="37" customFormat="1" ht="18" x14ac:dyDescent="0.25">
      <c r="A16" s="52">
        <v>12</v>
      </c>
      <c r="B16" s="53"/>
      <c r="C16" s="54"/>
      <c r="D16" s="54">
        <f>'A7-15'!I$7*B$5</f>
        <v>7195.3770632266669</v>
      </c>
      <c r="E16" s="54">
        <f t="shared" si="1"/>
        <v>863.44524758720002</v>
      </c>
      <c r="F16" s="55">
        <f t="shared" si="0"/>
        <v>8058.8223108138673</v>
      </c>
    </row>
    <row r="17" spans="1:6" s="37" customFormat="1" ht="18" x14ac:dyDescent="0.25">
      <c r="A17" s="52">
        <v>13</v>
      </c>
      <c r="B17" s="53"/>
      <c r="C17" s="54"/>
      <c r="D17" s="54">
        <f>'A7-15'!I$7*B$5</f>
        <v>7195.3770632266669</v>
      </c>
      <c r="E17" s="54">
        <f t="shared" si="1"/>
        <v>863.44524758720002</v>
      </c>
      <c r="F17" s="55">
        <f t="shared" si="0"/>
        <v>8058.8223108138673</v>
      </c>
    </row>
    <row r="18" spans="1:6" s="37" customFormat="1" ht="18" x14ac:dyDescent="0.25">
      <c r="A18" s="52">
        <v>14</v>
      </c>
      <c r="B18" s="53"/>
      <c r="C18" s="54"/>
      <c r="D18" s="54">
        <f>'A7-15'!I$7*B$5</f>
        <v>7195.3770632266669</v>
      </c>
      <c r="E18" s="54">
        <f t="shared" si="1"/>
        <v>863.44524758720002</v>
      </c>
      <c r="F18" s="55">
        <f t="shared" si="0"/>
        <v>8058.8223108138673</v>
      </c>
    </row>
    <row r="19" spans="1:6" s="37" customFormat="1" ht="18" x14ac:dyDescent="0.25">
      <c r="A19" s="52">
        <v>15</v>
      </c>
      <c r="B19" s="53"/>
      <c r="C19" s="54"/>
      <c r="D19" s="54">
        <f>'A7-15'!I$7*B$5</f>
        <v>7195.3770632266669</v>
      </c>
      <c r="E19" s="54">
        <f t="shared" si="1"/>
        <v>863.44524758720002</v>
      </c>
      <c r="F19" s="55">
        <f t="shared" si="0"/>
        <v>8058.8223108138673</v>
      </c>
    </row>
    <row r="20" spans="1:6" ht="15" x14ac:dyDescent="0.2">
      <c r="A20" s="39" t="s">
        <v>149</v>
      </c>
      <c r="B20" s="27"/>
      <c r="C20" s="27"/>
      <c r="D20" s="27"/>
      <c r="E20" s="27"/>
      <c r="F20" s="32"/>
    </row>
    <row r="21" spans="1:6" ht="15" x14ac:dyDescent="0.2">
      <c r="A21" s="18" t="s">
        <v>150</v>
      </c>
      <c r="B21" s="27"/>
      <c r="C21" s="27"/>
      <c r="D21" s="27"/>
      <c r="E21" s="27"/>
      <c r="F21" s="32"/>
    </row>
    <row r="22" spans="1:6" ht="18" x14ac:dyDescent="0.25">
      <c r="B22" s="33"/>
      <c r="C22" s="33"/>
      <c r="D22" s="33"/>
      <c r="E22" s="33"/>
      <c r="F22" s="34"/>
    </row>
    <row r="23" spans="1:6" ht="15" x14ac:dyDescent="0.2">
      <c r="B23" s="27"/>
      <c r="C23" s="27"/>
      <c r="D23" s="27"/>
      <c r="E23" s="27"/>
      <c r="F23" s="32"/>
    </row>
    <row r="24" spans="1:6" x14ac:dyDescent="0.2">
      <c r="B24" s="35"/>
      <c r="C24" s="35"/>
      <c r="D24" s="35"/>
      <c r="E24" s="35"/>
      <c r="F24" s="21"/>
    </row>
    <row r="25" spans="1:6" x14ac:dyDescent="0.2">
      <c r="B25" s="35"/>
      <c r="C25" s="35"/>
      <c r="D25" s="35"/>
      <c r="E25" s="35"/>
      <c r="F25" s="21"/>
    </row>
    <row r="26" spans="1:6" x14ac:dyDescent="0.2">
      <c r="B26" s="35"/>
      <c r="C26" s="35"/>
      <c r="D26" s="35"/>
      <c r="E26" s="35"/>
      <c r="F26" s="21"/>
    </row>
    <row r="27" spans="1:6" x14ac:dyDescent="0.2">
      <c r="B27" s="29"/>
      <c r="C27" s="29"/>
      <c r="D27" s="29"/>
      <c r="E27" s="29"/>
      <c r="F27" s="21"/>
    </row>
    <row r="28" spans="1:6" x14ac:dyDescent="0.2">
      <c r="B28" s="29"/>
      <c r="C28" s="29"/>
      <c r="D28" s="29"/>
      <c r="E28" s="29"/>
      <c r="F28" s="21"/>
    </row>
    <row r="29" spans="1:6" x14ac:dyDescent="0.2">
      <c r="B29" s="22"/>
      <c r="C29" s="22"/>
      <c r="D29" s="22"/>
      <c r="E29" s="22"/>
      <c r="F29" s="21"/>
    </row>
    <row r="30" spans="1:6" x14ac:dyDescent="0.2">
      <c r="B30" s="19"/>
      <c r="C30" s="19"/>
      <c r="D30" s="19"/>
      <c r="E30" s="19"/>
      <c r="F30" s="20"/>
    </row>
    <row r="31" spans="1:6" x14ac:dyDescent="0.2">
      <c r="B31" s="19"/>
      <c r="C31" s="19"/>
      <c r="D31" s="19"/>
      <c r="E31" s="19"/>
      <c r="F31" s="20"/>
    </row>
    <row r="32" spans="1:6" x14ac:dyDescent="0.2">
      <c r="B32" s="19"/>
      <c r="C32" s="19"/>
      <c r="D32" s="19"/>
      <c r="E32" s="19"/>
      <c r="F32" s="20"/>
    </row>
    <row r="33" spans="2:6" x14ac:dyDescent="0.2">
      <c r="B33" s="19"/>
      <c r="C33" s="19"/>
      <c r="D33" s="19"/>
      <c r="E33" s="19"/>
      <c r="F33" s="20"/>
    </row>
    <row r="34" spans="2:6" x14ac:dyDescent="0.2">
      <c r="B34" s="19"/>
      <c r="C34" s="19"/>
      <c r="D34" s="19"/>
      <c r="E34" s="19"/>
      <c r="F34" s="20"/>
    </row>
  </sheetData>
  <mergeCells count="2">
    <mergeCell ref="A3:A4"/>
    <mergeCell ref="B3:C3"/>
  </mergeCells>
  <phoneticPr fontId="9" type="noConversion"/>
  <printOptions horizontalCentered="1"/>
  <pageMargins left="0.15" right="0.17" top="1.0629921259842521" bottom="0.39" header="0" footer="0.15"/>
  <pageSetup paperSize="9" orientation="landscape" horizontalDpi="300" verticalDpi="300" r:id="rId1"/>
  <headerFooter alignWithMargins="0">
    <oddFooter xml:space="preserve">&amp;LIng Ftal Julio D. García&amp;ROctubre de 2007 - Página 2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10" zoomScale="85" workbookViewId="0">
      <selection activeCell="D63" sqref="D63"/>
    </sheetView>
  </sheetViews>
  <sheetFormatPr baseColWidth="10" defaultColWidth="10.28515625" defaultRowHeight="12.75" x14ac:dyDescent="0.2"/>
  <cols>
    <col min="1" max="1" width="9.28515625" style="25" customWidth="1"/>
    <col min="2" max="2" width="20.7109375" style="30" customWidth="1"/>
    <col min="3" max="3" width="18.7109375" style="31" customWidth="1"/>
    <col min="4" max="4" width="20.7109375" style="25" customWidth="1"/>
    <col min="5" max="5" width="18.7109375" style="25" customWidth="1"/>
    <col min="6" max="16384" width="10.28515625" style="25"/>
  </cols>
  <sheetData>
    <row r="1" spans="1:5" ht="20.25" x14ac:dyDescent="0.3">
      <c r="A1" s="121" t="s">
        <v>45</v>
      </c>
      <c r="B1" s="122"/>
      <c r="C1" s="123"/>
      <c r="D1" s="124"/>
      <c r="E1" s="124"/>
    </row>
    <row r="2" spans="1:5" ht="15.75" thickBot="1" x14ac:dyDescent="0.25">
      <c r="A2" s="125"/>
      <c r="B2" s="126"/>
      <c r="C2" s="127"/>
      <c r="D2" s="124"/>
      <c r="E2" s="124"/>
    </row>
    <row r="3" spans="1:5" ht="59.25" customHeight="1" x14ac:dyDescent="0.2">
      <c r="A3" s="223" t="s">
        <v>26</v>
      </c>
      <c r="B3" s="128" t="s">
        <v>89</v>
      </c>
      <c r="C3" s="129" t="s">
        <v>135</v>
      </c>
      <c r="D3" s="130" t="s">
        <v>134</v>
      </c>
      <c r="E3" s="131" t="s">
        <v>23</v>
      </c>
    </row>
    <row r="4" spans="1:5" ht="16.5" thickBot="1" x14ac:dyDescent="0.3">
      <c r="A4" s="224"/>
      <c r="B4" s="132" t="s">
        <v>44</v>
      </c>
      <c r="C4" s="133" t="s">
        <v>44</v>
      </c>
      <c r="D4" s="134" t="s">
        <v>44</v>
      </c>
      <c r="E4" s="135" t="s">
        <v>44</v>
      </c>
    </row>
    <row r="5" spans="1:5" ht="18" x14ac:dyDescent="0.25">
      <c r="A5" s="136">
        <v>1</v>
      </c>
      <c r="B5" s="137"/>
      <c r="C5" s="138"/>
      <c r="D5" s="139">
        <f>+B39*$C$35</f>
        <v>18000</v>
      </c>
      <c r="E5" s="140">
        <f t="shared" ref="E5:E18" si="0">SUM(B5:D5)</f>
        <v>18000</v>
      </c>
    </row>
    <row r="6" spans="1:5" ht="18" x14ac:dyDescent="0.25">
      <c r="A6" s="141">
        <v>2</v>
      </c>
      <c r="B6" s="142"/>
      <c r="C6" s="143"/>
      <c r="D6" s="139">
        <f t="shared" ref="D6:D10" si="1">+B40*$C$35</f>
        <v>30000</v>
      </c>
      <c r="E6" s="140">
        <f t="shared" si="0"/>
        <v>30000</v>
      </c>
    </row>
    <row r="7" spans="1:5" ht="18" x14ac:dyDescent="0.25">
      <c r="A7" s="141">
        <v>3</v>
      </c>
      <c r="B7" s="144">
        <f>+C24</f>
        <v>38969</v>
      </c>
      <c r="C7" s="143"/>
      <c r="D7" s="139">
        <f t="shared" si="1"/>
        <v>36000</v>
      </c>
      <c r="E7" s="140">
        <f t="shared" si="0"/>
        <v>74969</v>
      </c>
    </row>
    <row r="8" spans="1:5" ht="18" x14ac:dyDescent="0.25">
      <c r="A8" s="141">
        <v>4</v>
      </c>
      <c r="B8" s="144">
        <f>+C25</f>
        <v>6629</v>
      </c>
      <c r="C8" s="143"/>
      <c r="D8" s="139">
        <f t="shared" si="1"/>
        <v>24000</v>
      </c>
      <c r="E8" s="140">
        <f t="shared" si="0"/>
        <v>30629</v>
      </c>
    </row>
    <row r="9" spans="1:5" ht="18" x14ac:dyDescent="0.25">
      <c r="A9" s="141">
        <v>5</v>
      </c>
      <c r="B9" s="144">
        <f>+C26</f>
        <v>7523</v>
      </c>
      <c r="C9" s="143"/>
      <c r="D9" s="139">
        <f t="shared" si="1"/>
        <v>18000</v>
      </c>
      <c r="E9" s="140">
        <f t="shared" si="0"/>
        <v>25523</v>
      </c>
    </row>
    <row r="10" spans="1:5" ht="18" x14ac:dyDescent="0.25">
      <c r="A10" s="141">
        <v>6</v>
      </c>
      <c r="B10" s="144">
        <f>+C27</f>
        <v>9093</v>
      </c>
      <c r="C10" s="143"/>
      <c r="D10" s="139">
        <f t="shared" si="1"/>
        <v>12000</v>
      </c>
      <c r="E10" s="140">
        <f>SUM(B10:D10)</f>
        <v>21093</v>
      </c>
    </row>
    <row r="11" spans="1:5" ht="18" x14ac:dyDescent="0.25">
      <c r="A11" s="141">
        <v>7</v>
      </c>
      <c r="B11" s="144"/>
      <c r="C11" s="143"/>
      <c r="D11" s="139">
        <f>+B48*$C$36</f>
        <v>6428.5714285714284</v>
      </c>
      <c r="E11" s="140">
        <f t="shared" si="0"/>
        <v>6428.5714285714284</v>
      </c>
    </row>
    <row r="12" spans="1:5" ht="18" x14ac:dyDescent="0.25">
      <c r="A12" s="141">
        <v>8</v>
      </c>
      <c r="B12" s="144"/>
      <c r="C12" s="143"/>
      <c r="D12" s="139">
        <f t="shared" ref="D12:D13" si="2">+B49*$C$36</f>
        <v>6428.5714285714284</v>
      </c>
      <c r="E12" s="140">
        <f t="shared" si="0"/>
        <v>6428.5714285714284</v>
      </c>
    </row>
    <row r="13" spans="1:5" ht="18" x14ac:dyDescent="0.25">
      <c r="A13" s="141">
        <v>9</v>
      </c>
      <c r="B13" s="144"/>
      <c r="C13" s="143"/>
      <c r="D13" s="139">
        <f t="shared" si="2"/>
        <v>6428.5714285714284</v>
      </c>
      <c r="E13" s="140">
        <f t="shared" si="0"/>
        <v>6428.5714285714284</v>
      </c>
    </row>
    <row r="14" spans="1:5" ht="18" x14ac:dyDescent="0.25">
      <c r="A14" s="141">
        <v>10</v>
      </c>
      <c r="B14" s="144"/>
      <c r="C14" s="143"/>
      <c r="D14" s="139">
        <f>+B51*$C$36</f>
        <v>4821.4285714285716</v>
      </c>
      <c r="E14" s="140">
        <f t="shared" si="0"/>
        <v>4821.4285714285716</v>
      </c>
    </row>
    <row r="15" spans="1:5" ht="18" x14ac:dyDescent="0.25">
      <c r="A15" s="141">
        <v>11</v>
      </c>
      <c r="B15" s="144"/>
      <c r="C15" s="143"/>
      <c r="D15" s="139">
        <f t="shared" ref="D15:D19" si="3">+B52*$C$36</f>
        <v>4821.4285714285716</v>
      </c>
      <c r="E15" s="140">
        <f t="shared" si="0"/>
        <v>4821.4285714285716</v>
      </c>
    </row>
    <row r="16" spans="1:5" ht="18" x14ac:dyDescent="0.25">
      <c r="A16" s="141">
        <v>12</v>
      </c>
      <c r="B16" s="144"/>
      <c r="C16" s="143"/>
      <c r="D16" s="139">
        <f t="shared" si="3"/>
        <v>4821.4285714285716</v>
      </c>
      <c r="E16" s="140">
        <f t="shared" si="0"/>
        <v>4821.4285714285716</v>
      </c>
    </row>
    <row r="17" spans="1:5" ht="18" x14ac:dyDescent="0.25">
      <c r="A17" s="141">
        <v>13</v>
      </c>
      <c r="B17" s="144"/>
      <c r="C17" s="143"/>
      <c r="D17" s="139">
        <f t="shared" si="3"/>
        <v>3857.1428571428569</v>
      </c>
      <c r="E17" s="140">
        <f t="shared" si="0"/>
        <v>3857.1428571428569</v>
      </c>
    </row>
    <row r="18" spans="1:5" ht="18" x14ac:dyDescent="0.25">
      <c r="A18" s="141">
        <v>14</v>
      </c>
      <c r="B18" s="144"/>
      <c r="C18" s="143"/>
      <c r="D18" s="139">
        <f t="shared" si="3"/>
        <v>3857.1428571428569</v>
      </c>
      <c r="E18" s="140">
        <f t="shared" si="0"/>
        <v>3857.1428571428569</v>
      </c>
    </row>
    <row r="19" spans="1:5" ht="18.75" thickBot="1" x14ac:dyDescent="0.3">
      <c r="A19" s="145">
        <v>15</v>
      </c>
      <c r="B19" s="146"/>
      <c r="C19" s="147">
        <f>+C23*C28</f>
        <v>169000</v>
      </c>
      <c r="D19" s="148">
        <f t="shared" si="3"/>
        <v>3857.1428571428569</v>
      </c>
      <c r="E19" s="149">
        <f>SUM(B19:D19)</f>
        <v>172857.14285714287</v>
      </c>
    </row>
    <row r="20" spans="1:5" ht="15.75" x14ac:dyDescent="0.25">
      <c r="A20" s="26"/>
      <c r="B20" s="27"/>
      <c r="C20" s="28"/>
    </row>
    <row r="21" spans="1:5" ht="15.75" x14ac:dyDescent="0.25">
      <c r="A21" s="26"/>
      <c r="B21" s="27"/>
      <c r="C21" s="28"/>
    </row>
    <row r="22" spans="1:5" ht="15.75" x14ac:dyDescent="0.25">
      <c r="A22" s="225" t="s">
        <v>71</v>
      </c>
      <c r="B22" s="225"/>
      <c r="C22" s="225"/>
    </row>
    <row r="23" spans="1:5" x14ac:dyDescent="0.2">
      <c r="A23" s="222" t="s">
        <v>52</v>
      </c>
      <c r="B23" s="222"/>
      <c r="C23" s="41">
        <v>1</v>
      </c>
    </row>
    <row r="24" spans="1:5" x14ac:dyDescent="0.2">
      <c r="A24" s="222" t="s">
        <v>92</v>
      </c>
      <c r="B24" s="222"/>
      <c r="C24" s="47">
        <v>38969</v>
      </c>
    </row>
    <row r="25" spans="1:5" x14ac:dyDescent="0.2">
      <c r="A25" s="222" t="s">
        <v>93</v>
      </c>
      <c r="B25" s="222"/>
      <c r="C25" s="47">
        <v>6629</v>
      </c>
    </row>
    <row r="26" spans="1:5" x14ac:dyDescent="0.2">
      <c r="A26" s="222" t="s">
        <v>70</v>
      </c>
      <c r="B26" s="222"/>
      <c r="C26" s="47">
        <v>7523</v>
      </c>
    </row>
    <row r="27" spans="1:5" x14ac:dyDescent="0.2">
      <c r="A27" s="222" t="s">
        <v>94</v>
      </c>
      <c r="B27" s="222"/>
      <c r="C27" s="47">
        <v>9093</v>
      </c>
    </row>
    <row r="28" spans="1:5" x14ac:dyDescent="0.2">
      <c r="A28" s="220" t="s">
        <v>46</v>
      </c>
      <c r="B28" s="220"/>
      <c r="C28" s="193">
        <f>+C29+C30</f>
        <v>169000</v>
      </c>
    </row>
    <row r="29" spans="1:5" x14ac:dyDescent="0.2">
      <c r="A29" s="222" t="s">
        <v>47</v>
      </c>
      <c r="B29" s="222"/>
      <c r="C29" s="47">
        <f>+C31*C33</f>
        <v>124000</v>
      </c>
    </row>
    <row r="30" spans="1:5" x14ac:dyDescent="0.2">
      <c r="A30" s="222" t="s">
        <v>90</v>
      </c>
      <c r="B30" s="222"/>
      <c r="C30" s="47">
        <f>+C32*C34</f>
        <v>45000</v>
      </c>
    </row>
    <row r="31" spans="1:5" x14ac:dyDescent="0.2">
      <c r="A31" s="220" t="s">
        <v>48</v>
      </c>
      <c r="B31" s="220"/>
      <c r="C31" s="193">
        <v>155</v>
      </c>
      <c r="E31" s="48"/>
    </row>
    <row r="32" spans="1:5" x14ac:dyDescent="0.2">
      <c r="A32" s="220" t="s">
        <v>91</v>
      </c>
      <c r="B32" s="220"/>
      <c r="C32" s="193">
        <v>75</v>
      </c>
    </row>
    <row r="33" spans="1:6" x14ac:dyDescent="0.2">
      <c r="A33" s="222" t="s">
        <v>49</v>
      </c>
      <c r="B33" s="222"/>
      <c r="C33" s="47">
        <v>800</v>
      </c>
    </row>
    <row r="34" spans="1:6" x14ac:dyDescent="0.2">
      <c r="A34" s="221" t="s">
        <v>104</v>
      </c>
      <c r="B34" s="222"/>
      <c r="C34" s="47">
        <v>600</v>
      </c>
    </row>
    <row r="35" spans="1:6" x14ac:dyDescent="0.2">
      <c r="A35" s="221" t="s">
        <v>118</v>
      </c>
      <c r="B35" s="221"/>
      <c r="C35" s="47">
        <v>150</v>
      </c>
    </row>
    <row r="36" spans="1:6" x14ac:dyDescent="0.2">
      <c r="A36" s="189" t="s">
        <v>133</v>
      </c>
      <c r="B36" s="189"/>
      <c r="C36" s="47">
        <v>90</v>
      </c>
    </row>
    <row r="37" spans="1:6" x14ac:dyDescent="0.2">
      <c r="A37" s="150" t="s">
        <v>151</v>
      </c>
      <c r="B37" s="142"/>
      <c r="C37" s="123"/>
      <c r="D37" s="25" t="s">
        <v>152</v>
      </c>
    </row>
    <row r="38" spans="1:6" x14ac:dyDescent="0.2">
      <c r="A38" s="202">
        <v>40</v>
      </c>
      <c r="B38" s="151" t="s">
        <v>136</v>
      </c>
      <c r="C38" s="123"/>
      <c r="D38" s="192" t="s">
        <v>154</v>
      </c>
    </row>
    <row r="39" spans="1:6" x14ac:dyDescent="0.2">
      <c r="A39" s="150" t="s">
        <v>112</v>
      </c>
      <c r="B39" s="152">
        <f>300*A$38/100</f>
        <v>120</v>
      </c>
      <c r="C39" s="153" t="s">
        <v>113</v>
      </c>
      <c r="F39" s="192"/>
    </row>
    <row r="40" spans="1:6" x14ac:dyDescent="0.2">
      <c r="A40" s="150" t="s">
        <v>114</v>
      </c>
      <c r="B40" s="152">
        <f>500*A38/100</f>
        <v>200</v>
      </c>
      <c r="C40" s="153" t="s">
        <v>113</v>
      </c>
    </row>
    <row r="41" spans="1:6" x14ac:dyDescent="0.2">
      <c r="A41" s="150" t="s">
        <v>115</v>
      </c>
      <c r="B41" s="152">
        <f>600*A38/100</f>
        <v>240</v>
      </c>
      <c r="C41" s="153" t="s">
        <v>113</v>
      </c>
    </row>
    <row r="42" spans="1:6" x14ac:dyDescent="0.2">
      <c r="A42" s="150" t="s">
        <v>116</v>
      </c>
      <c r="B42" s="152">
        <f>400*A38/100</f>
        <v>160</v>
      </c>
      <c r="C42" s="153" t="s">
        <v>113</v>
      </c>
    </row>
    <row r="43" spans="1:6" x14ac:dyDescent="0.2">
      <c r="A43" s="150" t="s">
        <v>117</v>
      </c>
      <c r="B43" s="152">
        <f>300*A38/100</f>
        <v>120</v>
      </c>
      <c r="C43" s="153" t="s">
        <v>113</v>
      </c>
    </row>
    <row r="44" spans="1:6" x14ac:dyDescent="0.2">
      <c r="A44" s="150" t="s">
        <v>119</v>
      </c>
      <c r="B44" s="152">
        <f>200*A38/100</f>
        <v>80</v>
      </c>
      <c r="C44" s="153" t="s">
        <v>113</v>
      </c>
    </row>
    <row r="45" spans="1:6" x14ac:dyDescent="0.2">
      <c r="A45" s="150" t="s">
        <v>153</v>
      </c>
      <c r="B45" s="152"/>
      <c r="C45" s="153"/>
    </row>
    <row r="46" spans="1:6" x14ac:dyDescent="0.2">
      <c r="A46" s="202">
        <v>40</v>
      </c>
      <c r="B46" s="154" t="s">
        <v>138</v>
      </c>
      <c r="C46" s="153"/>
      <c r="D46" s="192" t="s">
        <v>154</v>
      </c>
    </row>
    <row r="47" spans="1:6" x14ac:dyDescent="0.2">
      <c r="A47" s="201">
        <f>1/11.2</f>
        <v>8.9285714285714288E-2</v>
      </c>
      <c r="B47" s="154" t="s">
        <v>139</v>
      </c>
      <c r="C47" s="153"/>
      <c r="D47" s="192" t="s">
        <v>155</v>
      </c>
    </row>
    <row r="48" spans="1:6" x14ac:dyDescent="0.2">
      <c r="A48" s="150" t="s">
        <v>120</v>
      </c>
      <c r="B48" s="152">
        <f>2000*A$47*A$46/100</f>
        <v>71.428571428571431</v>
      </c>
      <c r="C48" s="153" t="s">
        <v>132</v>
      </c>
    </row>
    <row r="49" spans="1:3" x14ac:dyDescent="0.2">
      <c r="A49" s="150" t="s">
        <v>121</v>
      </c>
      <c r="B49" s="152">
        <f>2000*A47*A46/100</f>
        <v>71.428571428571431</v>
      </c>
      <c r="C49" s="153" t="s">
        <v>132</v>
      </c>
    </row>
    <row r="50" spans="1:3" x14ac:dyDescent="0.2">
      <c r="A50" s="150" t="s">
        <v>122</v>
      </c>
      <c r="B50" s="152">
        <f>2000*A47*A46/100</f>
        <v>71.428571428571431</v>
      </c>
      <c r="C50" s="153" t="s">
        <v>132</v>
      </c>
    </row>
    <row r="51" spans="1:3" x14ac:dyDescent="0.2">
      <c r="A51" s="150" t="s">
        <v>123</v>
      </c>
      <c r="B51" s="152">
        <f>1500*$A$47*A$46/100</f>
        <v>53.571428571428577</v>
      </c>
      <c r="C51" s="153" t="s">
        <v>132</v>
      </c>
    </row>
    <row r="52" spans="1:3" x14ac:dyDescent="0.2">
      <c r="A52" s="150" t="s">
        <v>124</v>
      </c>
      <c r="B52" s="152">
        <f t="shared" ref="B52:B53" si="4">1500*$A$47*A$46/100</f>
        <v>53.571428571428577</v>
      </c>
      <c r="C52" s="153" t="s">
        <v>132</v>
      </c>
    </row>
    <row r="53" spans="1:3" x14ac:dyDescent="0.2">
      <c r="A53" s="150" t="s">
        <v>125</v>
      </c>
      <c r="B53" s="152">
        <f t="shared" si="4"/>
        <v>53.571428571428577</v>
      </c>
      <c r="C53" s="153" t="s">
        <v>132</v>
      </c>
    </row>
    <row r="54" spans="1:3" x14ac:dyDescent="0.2">
      <c r="A54" s="150" t="s">
        <v>126</v>
      </c>
      <c r="B54" s="152">
        <f>1200*$A$47*A$46/100</f>
        <v>42.857142857142854</v>
      </c>
      <c r="C54" s="153" t="s">
        <v>132</v>
      </c>
    </row>
    <row r="55" spans="1:3" x14ac:dyDescent="0.2">
      <c r="A55" s="150" t="s">
        <v>127</v>
      </c>
      <c r="B55" s="152">
        <f t="shared" ref="B55:B56" si="5">1200*$A$47*A$46/100</f>
        <v>42.857142857142854</v>
      </c>
      <c r="C55" s="153" t="s">
        <v>132</v>
      </c>
    </row>
    <row r="56" spans="1:3" x14ac:dyDescent="0.2">
      <c r="A56" s="150" t="s">
        <v>128</v>
      </c>
      <c r="B56" s="152">
        <f t="shared" si="5"/>
        <v>42.857142857142854</v>
      </c>
      <c r="C56" s="153" t="s">
        <v>132</v>
      </c>
    </row>
  </sheetData>
  <mergeCells count="15">
    <mergeCell ref="A32:B32"/>
    <mergeCell ref="A34:B34"/>
    <mergeCell ref="A33:B33"/>
    <mergeCell ref="A35:B35"/>
    <mergeCell ref="A3:A4"/>
    <mergeCell ref="A26:B26"/>
    <mergeCell ref="A22:C22"/>
    <mergeCell ref="A23:B23"/>
    <mergeCell ref="A24:B24"/>
    <mergeCell ref="A25:B25"/>
    <mergeCell ref="A28:B28"/>
    <mergeCell ref="A29:B29"/>
    <mergeCell ref="A31:B31"/>
    <mergeCell ref="A27:B27"/>
    <mergeCell ref="A30:B30"/>
  </mergeCells>
  <phoneticPr fontId="9" type="noConversion"/>
  <printOptions horizontalCentered="1"/>
  <pageMargins left="0.6692913385826772" right="0.39370078740157483" top="1.1100000000000001" bottom="0.7" header="0" footer="0.28999999999999998"/>
  <pageSetup paperSize="9" orientation="portrait" horizontalDpi="300" verticalDpi="300" r:id="rId1"/>
  <headerFooter alignWithMargins="0">
    <oddFooter>&amp;L          Ing Ftal Julio D. García&amp;ROctubre de 2007 - Página 3</oddFooter>
  </headerFooter>
  <ignoredErrors>
    <ignoredError sqref="E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workbookViewId="0">
      <selection activeCell="G5" sqref="G5"/>
    </sheetView>
  </sheetViews>
  <sheetFormatPr baseColWidth="10" defaultRowHeight="12.75" x14ac:dyDescent="0.2"/>
  <cols>
    <col min="1" max="1" width="10.7109375" style="5" customWidth="1"/>
    <col min="2" max="3" width="14.7109375" style="5" customWidth="1"/>
    <col min="4" max="4" width="18.7109375" style="5" customWidth="1"/>
    <col min="5" max="5" width="11.42578125" style="5"/>
    <col min="6" max="6" width="10.7109375" style="67" customWidth="1"/>
    <col min="7" max="8" width="14.7109375" style="5" customWidth="1"/>
    <col min="9" max="9" width="16.7109375" style="5" customWidth="1"/>
    <col min="10" max="16384" width="11.42578125" style="5"/>
  </cols>
  <sheetData>
    <row r="1" spans="1:9" ht="18.75" x14ac:dyDescent="0.3">
      <c r="A1" s="155" t="s">
        <v>25</v>
      </c>
      <c r="B1" s="156"/>
      <c r="C1" s="157"/>
      <c r="D1" s="157"/>
      <c r="E1" s="72"/>
      <c r="F1" s="158"/>
      <c r="G1" s="72"/>
      <c r="H1" s="72"/>
      <c r="I1" s="72"/>
    </row>
    <row r="2" spans="1:9" ht="18" customHeight="1" x14ac:dyDescent="0.3">
      <c r="A2" s="155"/>
      <c r="B2" s="156"/>
      <c r="C2" s="157"/>
      <c r="D2" s="157"/>
      <c r="E2" s="72"/>
      <c r="F2" s="158"/>
      <c r="G2" s="72"/>
      <c r="H2" s="72"/>
      <c r="I2" s="72"/>
    </row>
    <row r="3" spans="1:9" ht="18" customHeight="1" thickBot="1" x14ac:dyDescent="0.35">
      <c r="A3" s="159" t="s">
        <v>141</v>
      </c>
      <c r="B3" s="156"/>
      <c r="C3" s="157"/>
      <c r="D3" s="157"/>
      <c r="E3" s="72"/>
      <c r="F3" s="159" t="s">
        <v>143</v>
      </c>
      <c r="G3" s="72"/>
      <c r="H3" s="72"/>
      <c r="I3" s="72"/>
    </row>
    <row r="4" spans="1:9" ht="37.5" customHeight="1" thickBot="1" x14ac:dyDescent="0.25">
      <c r="A4" s="160" t="s">
        <v>26</v>
      </c>
      <c r="B4" s="161" t="s">
        <v>95</v>
      </c>
      <c r="C4" s="162" t="s">
        <v>96</v>
      </c>
      <c r="D4" s="163" t="s">
        <v>142</v>
      </c>
      <c r="E4" s="72"/>
      <c r="F4" s="162" t="str">
        <f t="shared" ref="F4:F19" si="0">A4</f>
        <v>AÑO</v>
      </c>
      <c r="G4" s="164" t="str">
        <f t="shared" ref="G4:G22" si="1">B4</f>
        <v>EGRESOS ($)</v>
      </c>
      <c r="H4" s="165" t="str">
        <f t="shared" ref="H4:H22" si="2">C4</f>
        <v>INGRESOS ($)</v>
      </c>
      <c r="I4" s="166" t="str">
        <f t="shared" ref="I4" si="3">D4</f>
        <v>FLUJO NETO ($)</v>
      </c>
    </row>
    <row r="5" spans="1:9" ht="18" customHeight="1" x14ac:dyDescent="0.25">
      <c r="A5" s="167">
        <v>1</v>
      </c>
      <c r="B5" s="168">
        <f>+EGRESOS!F5</f>
        <v>64315.842555170377</v>
      </c>
      <c r="C5" s="169">
        <f>+INGRESOS!E5</f>
        <v>18000</v>
      </c>
      <c r="D5" s="170">
        <f t="shared" ref="D5:D16" si="4">C5-B5</f>
        <v>-46315.842555170377</v>
      </c>
      <c r="E5" s="72"/>
      <c r="F5" s="171">
        <f t="shared" si="0"/>
        <v>1</v>
      </c>
      <c r="G5" s="172">
        <f>B5+compcost!G39</f>
        <v>198315.84255517038</v>
      </c>
      <c r="H5" s="173">
        <f t="shared" si="2"/>
        <v>18000</v>
      </c>
      <c r="I5" s="170">
        <f t="shared" ref="I5:I18" si="5">H5-G5</f>
        <v>-180315.84255517038</v>
      </c>
    </row>
    <row r="6" spans="1:9" ht="18" customHeight="1" x14ac:dyDescent="0.25">
      <c r="A6" s="174">
        <v>2</v>
      </c>
      <c r="B6" s="175">
        <f>+EGRESOS!F6</f>
        <v>15165.160217013334</v>
      </c>
      <c r="C6" s="176">
        <f>+INGRESOS!E6</f>
        <v>30000</v>
      </c>
      <c r="D6" s="177">
        <f t="shared" si="4"/>
        <v>14834.839782986666</v>
      </c>
      <c r="E6" s="72"/>
      <c r="F6" s="178">
        <f t="shared" si="0"/>
        <v>2</v>
      </c>
      <c r="G6" s="179">
        <f t="shared" si="1"/>
        <v>15165.160217013334</v>
      </c>
      <c r="H6" s="180">
        <f t="shared" si="2"/>
        <v>30000</v>
      </c>
      <c r="I6" s="177">
        <f t="shared" si="5"/>
        <v>14834.839782986666</v>
      </c>
    </row>
    <row r="7" spans="1:9" ht="18" customHeight="1" x14ac:dyDescent="0.25">
      <c r="A7" s="174">
        <v>3</v>
      </c>
      <c r="B7" s="175">
        <f>+EGRESOS!F7</f>
        <v>16326.277881013335</v>
      </c>
      <c r="C7" s="176">
        <f>+INGRESOS!E7</f>
        <v>74969</v>
      </c>
      <c r="D7" s="177">
        <f t="shared" si="4"/>
        <v>58642.722118986669</v>
      </c>
      <c r="E7" s="72"/>
      <c r="F7" s="178">
        <f t="shared" si="0"/>
        <v>3</v>
      </c>
      <c r="G7" s="179">
        <f t="shared" si="1"/>
        <v>16326.277881013335</v>
      </c>
      <c r="H7" s="180">
        <f t="shared" si="2"/>
        <v>74969</v>
      </c>
      <c r="I7" s="177">
        <f t="shared" si="5"/>
        <v>58642.722118986669</v>
      </c>
    </row>
    <row r="8" spans="1:9" ht="18" customHeight="1" x14ac:dyDescent="0.25">
      <c r="A8" s="174">
        <v>4</v>
      </c>
      <c r="B8" s="175">
        <f>+EGRESOS!F8</f>
        <v>17516.238457013333</v>
      </c>
      <c r="C8" s="176">
        <f>+INGRESOS!E8</f>
        <v>30629</v>
      </c>
      <c r="D8" s="177">
        <f t="shared" si="4"/>
        <v>13112.761542986667</v>
      </c>
      <c r="E8" s="72"/>
      <c r="F8" s="178">
        <f t="shared" si="0"/>
        <v>4</v>
      </c>
      <c r="G8" s="179">
        <f t="shared" si="1"/>
        <v>17516.238457013333</v>
      </c>
      <c r="H8" s="180">
        <f t="shared" si="2"/>
        <v>30629</v>
      </c>
      <c r="I8" s="177">
        <f t="shared" si="5"/>
        <v>13112.761542986667</v>
      </c>
    </row>
    <row r="9" spans="1:9" ht="18" customHeight="1" x14ac:dyDescent="0.25">
      <c r="A9" s="174">
        <v>5</v>
      </c>
      <c r="B9" s="175">
        <f>+EGRESOS!F9</f>
        <v>17516.238457013333</v>
      </c>
      <c r="C9" s="176">
        <f>+INGRESOS!E9</f>
        <v>25523</v>
      </c>
      <c r="D9" s="177">
        <f t="shared" si="4"/>
        <v>8006.7615429866673</v>
      </c>
      <c r="E9" s="72"/>
      <c r="F9" s="178">
        <f t="shared" si="0"/>
        <v>5</v>
      </c>
      <c r="G9" s="179">
        <f t="shared" si="1"/>
        <v>17516.238457013333</v>
      </c>
      <c r="H9" s="180">
        <f t="shared" si="2"/>
        <v>25523</v>
      </c>
      <c r="I9" s="177">
        <f t="shared" si="5"/>
        <v>8006.7615429866673</v>
      </c>
    </row>
    <row r="10" spans="1:9" ht="18" customHeight="1" x14ac:dyDescent="0.25">
      <c r="A10" s="174">
        <v>6</v>
      </c>
      <c r="B10" s="175">
        <f>+EGRESOS!F10</f>
        <v>16355.782310813867</v>
      </c>
      <c r="C10" s="176">
        <f>+INGRESOS!E10</f>
        <v>21093</v>
      </c>
      <c r="D10" s="177">
        <f t="shared" si="4"/>
        <v>4737.2176891861327</v>
      </c>
      <c r="E10" s="72"/>
      <c r="F10" s="178">
        <f t="shared" si="0"/>
        <v>6</v>
      </c>
      <c r="G10" s="179">
        <f t="shared" si="1"/>
        <v>16355.782310813867</v>
      </c>
      <c r="H10" s="180">
        <f t="shared" si="2"/>
        <v>21093</v>
      </c>
      <c r="I10" s="177">
        <f t="shared" si="5"/>
        <v>4737.2176891861327</v>
      </c>
    </row>
    <row r="11" spans="1:9" ht="18" customHeight="1" x14ac:dyDescent="0.25">
      <c r="A11" s="174">
        <v>7</v>
      </c>
      <c r="B11" s="175">
        <f>+EGRESOS!F11</f>
        <v>8058.8223108138673</v>
      </c>
      <c r="C11" s="176">
        <f>+INGRESOS!E11</f>
        <v>6428.5714285714284</v>
      </c>
      <c r="D11" s="177">
        <f t="shared" si="4"/>
        <v>-1630.2508822424388</v>
      </c>
      <c r="E11" s="72"/>
      <c r="F11" s="178">
        <f t="shared" si="0"/>
        <v>7</v>
      </c>
      <c r="G11" s="179">
        <f t="shared" si="1"/>
        <v>8058.8223108138673</v>
      </c>
      <c r="H11" s="180">
        <f t="shared" si="2"/>
        <v>6428.5714285714284</v>
      </c>
      <c r="I11" s="177">
        <f t="shared" si="5"/>
        <v>-1630.2508822424388</v>
      </c>
    </row>
    <row r="12" spans="1:9" ht="18" customHeight="1" x14ac:dyDescent="0.25">
      <c r="A12" s="174">
        <v>8</v>
      </c>
      <c r="B12" s="175">
        <f>+EGRESOS!F12</f>
        <v>8058.8223108138673</v>
      </c>
      <c r="C12" s="176">
        <f>+INGRESOS!E12</f>
        <v>6428.5714285714284</v>
      </c>
      <c r="D12" s="177">
        <f t="shared" si="4"/>
        <v>-1630.2508822424388</v>
      </c>
      <c r="E12" s="72"/>
      <c r="F12" s="178">
        <f t="shared" si="0"/>
        <v>8</v>
      </c>
      <c r="G12" s="179">
        <f t="shared" si="1"/>
        <v>8058.8223108138673</v>
      </c>
      <c r="H12" s="180">
        <f t="shared" si="2"/>
        <v>6428.5714285714284</v>
      </c>
      <c r="I12" s="177">
        <f t="shared" si="5"/>
        <v>-1630.2508822424388</v>
      </c>
    </row>
    <row r="13" spans="1:9" ht="18" customHeight="1" x14ac:dyDescent="0.25">
      <c r="A13" s="174">
        <v>9</v>
      </c>
      <c r="B13" s="175">
        <f>+EGRESOS!F13</f>
        <v>8058.8223108138673</v>
      </c>
      <c r="C13" s="176">
        <f>+INGRESOS!E13</f>
        <v>6428.5714285714284</v>
      </c>
      <c r="D13" s="177">
        <f t="shared" si="4"/>
        <v>-1630.2508822424388</v>
      </c>
      <c r="E13" s="72"/>
      <c r="F13" s="178">
        <f t="shared" si="0"/>
        <v>9</v>
      </c>
      <c r="G13" s="179">
        <f t="shared" si="1"/>
        <v>8058.8223108138673</v>
      </c>
      <c r="H13" s="180">
        <f t="shared" si="2"/>
        <v>6428.5714285714284</v>
      </c>
      <c r="I13" s="177">
        <f t="shared" si="5"/>
        <v>-1630.2508822424388</v>
      </c>
    </row>
    <row r="14" spans="1:9" ht="18" customHeight="1" x14ac:dyDescent="0.25">
      <c r="A14" s="174">
        <v>10</v>
      </c>
      <c r="B14" s="175">
        <f>+EGRESOS!F14</f>
        <v>8058.8223108138673</v>
      </c>
      <c r="C14" s="176">
        <f>+INGRESOS!E14</f>
        <v>4821.4285714285716</v>
      </c>
      <c r="D14" s="177">
        <f t="shared" si="4"/>
        <v>-3237.3937393852957</v>
      </c>
      <c r="E14" s="72"/>
      <c r="F14" s="178">
        <f t="shared" si="0"/>
        <v>10</v>
      </c>
      <c r="G14" s="179">
        <f t="shared" si="1"/>
        <v>8058.8223108138673</v>
      </c>
      <c r="H14" s="180">
        <f t="shared" si="2"/>
        <v>4821.4285714285716</v>
      </c>
      <c r="I14" s="177">
        <f t="shared" si="5"/>
        <v>-3237.3937393852957</v>
      </c>
    </row>
    <row r="15" spans="1:9" ht="18" customHeight="1" x14ac:dyDescent="0.25">
      <c r="A15" s="174">
        <v>11</v>
      </c>
      <c r="B15" s="175">
        <f>+EGRESOS!F15</f>
        <v>8058.8223108138673</v>
      </c>
      <c r="C15" s="176">
        <f>+INGRESOS!E15</f>
        <v>4821.4285714285716</v>
      </c>
      <c r="D15" s="177">
        <f t="shared" si="4"/>
        <v>-3237.3937393852957</v>
      </c>
      <c r="E15" s="72"/>
      <c r="F15" s="178">
        <f t="shared" si="0"/>
        <v>11</v>
      </c>
      <c r="G15" s="179">
        <f t="shared" si="1"/>
        <v>8058.8223108138673</v>
      </c>
      <c r="H15" s="180">
        <f t="shared" si="2"/>
        <v>4821.4285714285716</v>
      </c>
      <c r="I15" s="177">
        <f t="shared" si="5"/>
        <v>-3237.3937393852957</v>
      </c>
    </row>
    <row r="16" spans="1:9" ht="18" customHeight="1" x14ac:dyDescent="0.25">
      <c r="A16" s="174">
        <v>12</v>
      </c>
      <c r="B16" s="175">
        <f>+EGRESOS!F16</f>
        <v>8058.8223108138673</v>
      </c>
      <c r="C16" s="176">
        <f>+INGRESOS!E16</f>
        <v>4821.4285714285716</v>
      </c>
      <c r="D16" s="177">
        <f t="shared" si="4"/>
        <v>-3237.3937393852957</v>
      </c>
      <c r="E16" s="72"/>
      <c r="F16" s="178">
        <f t="shared" si="0"/>
        <v>12</v>
      </c>
      <c r="G16" s="179">
        <f t="shared" si="1"/>
        <v>8058.8223108138673</v>
      </c>
      <c r="H16" s="180">
        <f t="shared" si="2"/>
        <v>4821.4285714285716</v>
      </c>
      <c r="I16" s="177">
        <f t="shared" si="5"/>
        <v>-3237.3937393852957</v>
      </c>
    </row>
    <row r="17" spans="1:9" ht="18" customHeight="1" x14ac:dyDescent="0.25">
      <c r="A17" s="174">
        <v>13</v>
      </c>
      <c r="B17" s="175">
        <f>+EGRESOS!F17</f>
        <v>8058.8223108138673</v>
      </c>
      <c r="C17" s="176">
        <f>+INGRESOS!E17</f>
        <v>3857.1428571428569</v>
      </c>
      <c r="D17" s="177">
        <f t="shared" ref="D17:D18" si="6">C17-B17</f>
        <v>-4201.6794536710104</v>
      </c>
      <c r="E17" s="72"/>
      <c r="F17" s="178">
        <f t="shared" si="0"/>
        <v>13</v>
      </c>
      <c r="G17" s="179">
        <f t="shared" si="1"/>
        <v>8058.8223108138673</v>
      </c>
      <c r="H17" s="180">
        <f t="shared" si="2"/>
        <v>3857.1428571428569</v>
      </c>
      <c r="I17" s="177">
        <f t="shared" si="5"/>
        <v>-4201.6794536710104</v>
      </c>
    </row>
    <row r="18" spans="1:9" ht="18" customHeight="1" x14ac:dyDescent="0.25">
      <c r="A18" s="174">
        <v>14</v>
      </c>
      <c r="B18" s="175">
        <f>+EGRESOS!F18</f>
        <v>8058.8223108138673</v>
      </c>
      <c r="C18" s="176">
        <f>+INGRESOS!E18</f>
        <v>3857.1428571428569</v>
      </c>
      <c r="D18" s="177">
        <f t="shared" si="6"/>
        <v>-4201.6794536710104</v>
      </c>
      <c r="E18" s="72"/>
      <c r="F18" s="178">
        <f t="shared" si="0"/>
        <v>14</v>
      </c>
      <c r="G18" s="179">
        <f t="shared" si="1"/>
        <v>8058.8223108138673</v>
      </c>
      <c r="H18" s="180">
        <f t="shared" si="2"/>
        <v>3857.1428571428569</v>
      </c>
      <c r="I18" s="177">
        <f t="shared" si="5"/>
        <v>-4201.6794536710104</v>
      </c>
    </row>
    <row r="19" spans="1:9" ht="18" customHeight="1" thickBot="1" x14ac:dyDescent="0.3">
      <c r="A19" s="181">
        <v>15</v>
      </c>
      <c r="B19" s="182">
        <f>+EGRESOS!F19</f>
        <v>8058.8223108138673</v>
      </c>
      <c r="C19" s="183">
        <f>+INGRESOS!E19</f>
        <v>172857.14285714287</v>
      </c>
      <c r="D19" s="184">
        <f>$C19-$B17</f>
        <v>164798.32054632899</v>
      </c>
      <c r="E19" s="72"/>
      <c r="F19" s="185">
        <f t="shared" si="0"/>
        <v>15</v>
      </c>
      <c r="G19" s="186">
        <f t="shared" si="1"/>
        <v>8058.8223108138673</v>
      </c>
      <c r="H19" s="187">
        <f>C19 + compcost!G39*1.3</f>
        <v>347057.14285714284</v>
      </c>
      <c r="I19" s="184">
        <f>$C19-$B17</f>
        <v>164798.32054632899</v>
      </c>
    </row>
    <row r="20" spans="1:9" ht="18" customHeight="1" x14ac:dyDescent="0.25">
      <c r="A20" s="74"/>
      <c r="B20" s="69">
        <f>SUM(B5:B19)</f>
        <v>219724.94067536245</v>
      </c>
      <c r="C20" s="69">
        <f>SUM(C5:C19)</f>
        <v>414535.42857142864</v>
      </c>
      <c r="D20" s="69">
        <f>SUM(D5:D19)</f>
        <v>194810.48789606619</v>
      </c>
      <c r="E20" s="72"/>
      <c r="F20" s="68"/>
      <c r="G20" s="69">
        <f>SUM(G5:G19)</f>
        <v>353724.94067536248</v>
      </c>
      <c r="H20" s="69">
        <f>SUM(H5:H19)</f>
        <v>588735.42857142864</v>
      </c>
      <c r="I20" s="69">
        <f>SUM(I5:I19)</f>
        <v>60810.487896066188</v>
      </c>
    </row>
    <row r="21" spans="1:9" ht="18" customHeight="1" x14ac:dyDescent="0.25">
      <c r="A21" s="74"/>
      <c r="B21" s="69"/>
      <c r="C21" s="69" t="s">
        <v>38</v>
      </c>
      <c r="D21" s="71">
        <f>IRR(D5:D19)</f>
        <v>0.43327252200642929</v>
      </c>
      <c r="E21" s="72"/>
      <c r="F21" s="68"/>
      <c r="G21" s="70"/>
      <c r="H21" s="70" t="str">
        <f t="shared" si="2"/>
        <v>T.I.R.</v>
      </c>
      <c r="I21" s="71">
        <f>IRR(I5:I19)</f>
        <v>3.3026653975528619E-2</v>
      </c>
    </row>
    <row r="22" spans="1:9" ht="18" customHeight="1" x14ac:dyDescent="0.25">
      <c r="A22" s="74"/>
      <c r="B22" s="69" t="s">
        <v>99</v>
      </c>
      <c r="C22" s="73">
        <v>0.08</v>
      </c>
      <c r="D22" s="69">
        <f>NPV(+C22,D5:D19)</f>
        <v>76613.407125864818</v>
      </c>
      <c r="E22" s="72"/>
      <c r="F22" s="68"/>
      <c r="G22" s="70" t="str">
        <f t="shared" si="1"/>
        <v xml:space="preserve">V.A.N. </v>
      </c>
      <c r="H22" s="70">
        <f t="shared" si="2"/>
        <v>0.08</v>
      </c>
      <c r="I22" s="69">
        <f>NPV(+H22,I5:I19)</f>
        <v>-47460.666948209269</v>
      </c>
    </row>
    <row r="23" spans="1:9" ht="18" customHeight="1" x14ac:dyDescent="0.2">
      <c r="A23" s="72"/>
      <c r="B23" s="72"/>
      <c r="C23" s="70" t="s">
        <v>137</v>
      </c>
      <c r="D23" s="73">
        <f>+D20/15</f>
        <v>12987.365859737745</v>
      </c>
      <c r="E23" s="72"/>
      <c r="F23" s="68"/>
      <c r="G23" s="72"/>
      <c r="H23" s="70" t="str">
        <f>C23</f>
        <v>ANUALIDAD</v>
      </c>
      <c r="I23" s="73">
        <f>+I20/15</f>
        <v>4054.0325264044127</v>
      </c>
    </row>
    <row r="24" spans="1:9" x14ac:dyDescent="0.2">
      <c r="A24" s="98" t="s">
        <v>148</v>
      </c>
      <c r="B24" s="72"/>
      <c r="C24" s="72"/>
      <c r="D24" s="72"/>
      <c r="E24" s="72"/>
      <c r="F24" s="158"/>
      <c r="G24" s="72"/>
      <c r="H24" s="72"/>
      <c r="I24" s="72"/>
    </row>
  </sheetData>
  <phoneticPr fontId="0" type="noConversion"/>
  <printOptions horizontalCentered="1"/>
  <pageMargins left="0.84" right="0.39" top="1.41" bottom="0.98425196850393704" header="0.70866141732283472" footer="0.59055118110236227"/>
  <pageSetup paperSize="9" orientation="portrait" horizontalDpi="4294967294" verticalDpi="360" r:id="rId1"/>
  <headerFooter alignWithMargins="0">
    <oddFooter>&amp;L            Ing Ftal Julio D. García&amp;ROctubre de 2007 - Página  4</oddFooter>
  </headerFooter>
  <ignoredErrors>
    <ignoredError sqref="G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opLeftCell="A2" workbookViewId="0">
      <selection activeCell="A4" sqref="A4"/>
    </sheetView>
  </sheetViews>
  <sheetFormatPr baseColWidth="10" defaultRowHeight="12.75" x14ac:dyDescent="0.2"/>
  <cols>
    <col min="1" max="1" width="71.28515625" customWidth="1"/>
  </cols>
  <sheetData>
    <row r="1" spans="1:1" ht="15.75" x14ac:dyDescent="0.25">
      <c r="A1" s="76" t="s">
        <v>147</v>
      </c>
    </row>
    <row r="2" spans="1:1" ht="323.25" customHeight="1" x14ac:dyDescent="0.2">
      <c r="A2" s="210" t="s">
        <v>169</v>
      </c>
    </row>
    <row r="3" spans="1:1" ht="124.5" customHeight="1" x14ac:dyDescent="0.2">
      <c r="A3" s="210"/>
    </row>
  </sheetData>
  <mergeCells count="1">
    <mergeCell ref="A2:A3"/>
  </mergeCell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4"/>
  <sheetViews>
    <sheetView topLeftCell="A19" zoomScale="85" workbookViewId="0">
      <selection activeCell="K36" sqref="K36"/>
    </sheetView>
  </sheetViews>
  <sheetFormatPr baseColWidth="10" defaultRowHeight="12.75" x14ac:dyDescent="0.2"/>
  <cols>
    <col min="1" max="5" width="11.42578125" style="2"/>
    <col min="6" max="6" width="13.5703125" style="2" customWidth="1"/>
    <col min="7" max="7" width="15.5703125" style="2" customWidth="1"/>
    <col min="8" max="16384" width="11.42578125" style="2"/>
  </cols>
  <sheetData>
    <row r="1" spans="1:7" ht="18" x14ac:dyDescent="0.25">
      <c r="A1" s="211" t="s">
        <v>27</v>
      </c>
      <c r="B1" s="211"/>
      <c r="C1" s="211"/>
      <c r="D1" s="211"/>
      <c r="E1" s="211"/>
      <c r="F1" s="211"/>
      <c r="G1" s="211"/>
    </row>
    <row r="2" spans="1:7" ht="15" x14ac:dyDescent="0.2">
      <c r="A2" s="77"/>
      <c r="B2" s="77"/>
      <c r="C2" s="77"/>
      <c r="D2" s="77"/>
      <c r="E2" s="77"/>
      <c r="F2" s="77"/>
      <c r="G2" s="77"/>
    </row>
    <row r="3" spans="1:7" ht="15.75" x14ac:dyDescent="0.25">
      <c r="A3" s="78" t="s">
        <v>58</v>
      </c>
      <c r="B3" s="77"/>
      <c r="C3" s="77"/>
      <c r="D3" s="77"/>
      <c r="E3" s="77"/>
      <c r="F3" s="77"/>
      <c r="G3" s="77"/>
    </row>
    <row r="4" spans="1:7" ht="15.75" x14ac:dyDescent="0.25">
      <c r="A4" s="79" t="s">
        <v>59</v>
      </c>
      <c r="B4" s="77"/>
      <c r="C4" s="77"/>
      <c r="D4" s="77"/>
      <c r="E4" s="77"/>
      <c r="F4" s="77" t="s">
        <v>146</v>
      </c>
      <c r="G4" s="77"/>
    </row>
    <row r="5" spans="1:7" ht="15" x14ac:dyDescent="0.2">
      <c r="A5" s="77"/>
      <c r="B5" s="80" t="s">
        <v>0</v>
      </c>
      <c r="C5" s="80"/>
      <c r="D5" s="80"/>
      <c r="E5" s="77"/>
      <c r="F5" s="77">
        <v>1.5</v>
      </c>
      <c r="G5" s="81">
        <f>+F5*G$44</f>
        <v>1297.274795</v>
      </c>
    </row>
    <row r="6" spans="1:7" ht="15" x14ac:dyDescent="0.2">
      <c r="A6" s="77"/>
      <c r="B6" s="80" t="s">
        <v>1</v>
      </c>
      <c r="C6" s="80"/>
      <c r="D6" s="80"/>
      <c r="E6" s="77"/>
      <c r="F6" s="77">
        <v>1.5</v>
      </c>
      <c r="G6" s="81">
        <f t="shared" ref="G6:G14" si="0">+F6*G$44</f>
        <v>1297.274795</v>
      </c>
    </row>
    <row r="7" spans="1:7" ht="15" x14ac:dyDescent="0.2">
      <c r="A7" s="77"/>
      <c r="B7" s="80" t="s">
        <v>2</v>
      </c>
      <c r="C7" s="80"/>
      <c r="D7" s="80"/>
      <c r="E7" s="77"/>
      <c r="F7" s="77">
        <v>1.2</v>
      </c>
      <c r="G7" s="81">
        <f t="shared" si="0"/>
        <v>1037.8198359999999</v>
      </c>
    </row>
    <row r="8" spans="1:7" ht="15" x14ac:dyDescent="0.2">
      <c r="A8" s="77"/>
      <c r="B8" s="80" t="s">
        <v>3</v>
      </c>
      <c r="C8" s="80"/>
      <c r="D8" s="80"/>
      <c r="E8" s="77"/>
      <c r="F8" s="77">
        <v>1.2</v>
      </c>
      <c r="G8" s="81">
        <f t="shared" si="0"/>
        <v>1037.8198359999999</v>
      </c>
    </row>
    <row r="9" spans="1:7" ht="15" x14ac:dyDescent="0.2">
      <c r="A9" s="77"/>
      <c r="B9" s="80" t="s">
        <v>4</v>
      </c>
      <c r="C9" s="80"/>
      <c r="D9" s="80"/>
      <c r="E9" s="77"/>
      <c r="F9" s="77">
        <v>1</v>
      </c>
      <c r="G9" s="81">
        <f t="shared" si="0"/>
        <v>864.84986333333336</v>
      </c>
    </row>
    <row r="10" spans="1:7" ht="15" x14ac:dyDescent="0.2">
      <c r="A10" s="77"/>
      <c r="B10" s="80" t="s">
        <v>39</v>
      </c>
      <c r="C10" s="80"/>
      <c r="D10" s="80"/>
      <c r="E10" s="77"/>
      <c r="F10" s="77">
        <v>1.3</v>
      </c>
      <c r="G10" s="81">
        <f t="shared" si="0"/>
        <v>1124.3048223333335</v>
      </c>
    </row>
    <row r="11" spans="1:7" ht="15" x14ac:dyDescent="0.2">
      <c r="A11" s="77"/>
      <c r="B11" s="80" t="s">
        <v>5</v>
      </c>
      <c r="C11" s="80"/>
      <c r="D11" s="80"/>
      <c r="E11" s="77"/>
      <c r="F11" s="77">
        <v>1.2</v>
      </c>
      <c r="G11" s="81">
        <f t="shared" si="0"/>
        <v>1037.8198359999999</v>
      </c>
    </row>
    <row r="12" spans="1:7" ht="15" x14ac:dyDescent="0.2">
      <c r="A12" s="77"/>
      <c r="B12" s="80" t="s">
        <v>34</v>
      </c>
      <c r="C12" s="80"/>
      <c r="D12" s="80"/>
      <c r="E12" s="77"/>
      <c r="F12" s="77">
        <v>1.3</v>
      </c>
      <c r="G12" s="81">
        <f t="shared" si="0"/>
        <v>1124.3048223333335</v>
      </c>
    </row>
    <row r="13" spans="1:7" ht="15" x14ac:dyDescent="0.2">
      <c r="A13" s="77"/>
      <c r="B13" s="80" t="s">
        <v>35</v>
      </c>
      <c r="C13" s="80"/>
      <c r="D13" s="80"/>
      <c r="E13" s="77"/>
      <c r="F13" s="77">
        <v>2</v>
      </c>
      <c r="G13" s="81">
        <f t="shared" si="0"/>
        <v>1729.6997266666667</v>
      </c>
    </row>
    <row r="14" spans="1:7" ht="15" x14ac:dyDescent="0.2">
      <c r="A14" s="77"/>
      <c r="B14" s="80" t="s">
        <v>40</v>
      </c>
      <c r="C14" s="80"/>
      <c r="D14" s="80"/>
      <c r="E14" s="77"/>
      <c r="F14" s="77">
        <v>1.3</v>
      </c>
      <c r="G14" s="81">
        <f t="shared" si="0"/>
        <v>1124.3048223333335</v>
      </c>
    </row>
    <row r="15" spans="1:7" ht="15" x14ac:dyDescent="0.2">
      <c r="A15" s="77"/>
      <c r="B15" s="77"/>
      <c r="C15" s="77"/>
      <c r="D15" s="77"/>
      <c r="E15" s="77"/>
      <c r="F15" s="77"/>
      <c r="G15" s="77"/>
    </row>
    <row r="16" spans="1:7" ht="15.75" x14ac:dyDescent="0.25">
      <c r="A16" s="212" t="s">
        <v>102</v>
      </c>
      <c r="B16" s="212"/>
      <c r="C16" s="212"/>
      <c r="D16" s="212"/>
      <c r="E16" s="212"/>
      <c r="F16" s="212"/>
      <c r="G16" s="212"/>
    </row>
    <row r="17" spans="1:11" ht="15" x14ac:dyDescent="0.2">
      <c r="A17" s="215" t="s">
        <v>106</v>
      </c>
      <c r="B17" s="215"/>
      <c r="C17" s="215"/>
      <c r="D17" s="215"/>
      <c r="E17" s="215"/>
      <c r="F17" s="82" t="s">
        <v>101</v>
      </c>
      <c r="G17" s="83">
        <f>(1377.98+20)*1.52</f>
        <v>2124.9295999999999</v>
      </c>
    </row>
    <row r="18" spans="1:11" ht="15" x14ac:dyDescent="0.2">
      <c r="A18" s="215" t="s">
        <v>106</v>
      </c>
      <c r="B18" s="215"/>
      <c r="C18" s="215"/>
      <c r="D18" s="215"/>
      <c r="E18" s="215"/>
      <c r="F18" s="82" t="s">
        <v>97</v>
      </c>
      <c r="G18" s="83">
        <f>(1513.52+20)*1.52</f>
        <v>2330.9504000000002</v>
      </c>
    </row>
    <row r="19" spans="1:11" ht="15" x14ac:dyDescent="0.2">
      <c r="A19" s="188"/>
      <c r="B19" s="188"/>
      <c r="C19" s="188"/>
      <c r="D19" s="188"/>
      <c r="E19" s="188"/>
      <c r="F19" s="82"/>
      <c r="G19" s="83"/>
    </row>
    <row r="20" spans="1:11" ht="15.75" x14ac:dyDescent="0.25">
      <c r="A20" s="212" t="s">
        <v>6</v>
      </c>
      <c r="B20" s="212"/>
      <c r="C20" s="212"/>
      <c r="D20" s="212"/>
      <c r="E20" s="212"/>
      <c r="F20" s="212"/>
      <c r="G20" s="77"/>
    </row>
    <row r="21" spans="1:11" ht="15" x14ac:dyDescent="0.2">
      <c r="A21" s="77"/>
      <c r="B21" s="77" t="s">
        <v>83</v>
      </c>
      <c r="C21" s="77"/>
      <c r="D21" s="77"/>
      <c r="E21" s="77"/>
      <c r="F21" s="77"/>
      <c r="G21" s="81">
        <v>45</v>
      </c>
      <c r="I21" s="14"/>
      <c r="K21" s="2" t="s">
        <v>98</v>
      </c>
    </row>
    <row r="22" spans="1:11" ht="15" x14ac:dyDescent="0.2">
      <c r="A22" s="82"/>
      <c r="B22" s="77" t="s">
        <v>168</v>
      </c>
      <c r="C22" s="77"/>
      <c r="D22" s="77"/>
      <c r="E22" s="77"/>
      <c r="F22" s="77"/>
      <c r="G22" s="81">
        <v>45</v>
      </c>
      <c r="I22" s="14"/>
      <c r="K22" s="2" t="s">
        <v>98</v>
      </c>
    </row>
    <row r="23" spans="1:11" ht="15" x14ac:dyDescent="0.2">
      <c r="A23" s="82"/>
      <c r="B23" s="200">
        <f>5.6*C54</f>
        <v>375.2</v>
      </c>
      <c r="C23" s="77" t="s">
        <v>160</v>
      </c>
      <c r="D23" s="77"/>
      <c r="E23" s="77">
        <v>12</v>
      </c>
      <c r="F23" s="77" t="s">
        <v>161</v>
      </c>
      <c r="G23" s="81">
        <f>+E23*B23</f>
        <v>4502.3999999999996</v>
      </c>
      <c r="I23" s="14"/>
    </row>
    <row r="24" spans="1:11" ht="15" x14ac:dyDescent="0.2">
      <c r="A24" s="77"/>
      <c r="B24" s="200">
        <f>4.8*C54*6+4.4*C54*8</f>
        <v>4288</v>
      </c>
      <c r="C24" s="77" t="s">
        <v>162</v>
      </c>
      <c r="D24" s="77"/>
      <c r="E24" s="77">
        <v>1</v>
      </c>
      <c r="F24" s="77" t="s">
        <v>161</v>
      </c>
      <c r="G24" s="81">
        <f>+E24*B24</f>
        <v>4288</v>
      </c>
      <c r="I24" s="14"/>
    </row>
    <row r="25" spans="1:11" ht="15" x14ac:dyDescent="0.2">
      <c r="A25" s="77"/>
      <c r="B25" s="77"/>
      <c r="C25" s="77"/>
      <c r="D25" s="77"/>
      <c r="E25" s="77"/>
      <c r="F25" s="77"/>
      <c r="G25" s="81"/>
      <c r="I25" s="14"/>
    </row>
    <row r="26" spans="1:11" ht="15.75" x14ac:dyDescent="0.25">
      <c r="A26" s="212" t="s">
        <v>53</v>
      </c>
      <c r="B26" s="212"/>
      <c r="C26" s="212"/>
      <c r="D26" s="212"/>
      <c r="E26" s="212"/>
      <c r="F26" s="212"/>
      <c r="G26" s="77"/>
      <c r="I26" s="4"/>
    </row>
    <row r="27" spans="1:11" ht="15.75" x14ac:dyDescent="0.25">
      <c r="A27" s="84"/>
      <c r="B27" s="84"/>
      <c r="C27" s="84"/>
      <c r="D27" s="84"/>
      <c r="E27" s="84"/>
      <c r="F27" s="82" t="s">
        <v>54</v>
      </c>
      <c r="G27" s="85">
        <v>1500</v>
      </c>
      <c r="I27" s="4"/>
    </row>
    <row r="28" spans="1:11" ht="15.75" x14ac:dyDescent="0.25">
      <c r="A28" s="84"/>
      <c r="B28" s="84"/>
      <c r="C28" s="84"/>
      <c r="D28" s="84"/>
      <c r="E28" s="84"/>
      <c r="F28" s="82"/>
      <c r="G28" s="86"/>
      <c r="I28" s="4"/>
    </row>
    <row r="29" spans="1:11" ht="15" x14ac:dyDescent="0.2">
      <c r="A29" s="77"/>
      <c r="B29" s="77"/>
      <c r="C29" s="77"/>
      <c r="D29" s="77"/>
      <c r="E29" s="190" t="s">
        <v>85</v>
      </c>
      <c r="F29" s="190" t="s">
        <v>86</v>
      </c>
      <c r="G29" s="77"/>
    </row>
    <row r="30" spans="1:11" ht="15.75" x14ac:dyDescent="0.25">
      <c r="A30" s="78" t="s">
        <v>145</v>
      </c>
      <c r="B30" s="77"/>
      <c r="C30" s="77"/>
      <c r="D30" s="77"/>
      <c r="E30" s="194">
        <v>4</v>
      </c>
      <c r="F30" s="191">
        <f>+G6+(G18/8)</f>
        <v>1588.643595</v>
      </c>
      <c r="G30" s="87">
        <f>+E30*F30</f>
        <v>6354.57438</v>
      </c>
    </row>
    <row r="31" spans="1:11" ht="15.75" x14ac:dyDescent="0.25">
      <c r="A31" s="78" t="s">
        <v>164</v>
      </c>
      <c r="B31" s="77"/>
      <c r="C31" s="77"/>
      <c r="D31" s="77"/>
      <c r="E31" s="194">
        <v>1</v>
      </c>
      <c r="F31" s="191">
        <f>40*52</f>
        <v>2080</v>
      </c>
      <c r="G31" s="87">
        <f>+E31*F31</f>
        <v>2080</v>
      </c>
    </row>
    <row r="32" spans="1:11" ht="15.75" x14ac:dyDescent="0.25">
      <c r="A32" s="78" t="s">
        <v>163</v>
      </c>
      <c r="B32" s="77"/>
      <c r="C32" s="77"/>
      <c r="D32" s="77"/>
      <c r="E32" s="194">
        <v>1</v>
      </c>
      <c r="F32" s="191">
        <f>60*52</f>
        <v>3120</v>
      </c>
      <c r="G32" s="87">
        <f>+E32*F32</f>
        <v>3120</v>
      </c>
    </row>
    <row r="33" spans="1:7" ht="15" x14ac:dyDescent="0.2">
      <c r="A33" s="77"/>
      <c r="B33" s="77"/>
      <c r="C33" s="77"/>
      <c r="D33" s="77"/>
      <c r="E33" s="77"/>
      <c r="F33" s="77"/>
      <c r="G33" s="77"/>
    </row>
    <row r="34" spans="1:7" ht="15.75" x14ac:dyDescent="0.25">
      <c r="A34" s="78" t="s">
        <v>7</v>
      </c>
      <c r="B34" s="78"/>
      <c r="C34" s="78"/>
      <c r="D34" s="77"/>
      <c r="E34" s="77"/>
      <c r="F34" s="77"/>
      <c r="G34" s="38">
        <f>+B36</f>
        <v>277.77777777777777</v>
      </c>
    </row>
    <row r="35" spans="1:7" ht="15.75" x14ac:dyDescent="0.25">
      <c r="A35" s="78"/>
      <c r="B35" s="78"/>
      <c r="C35" s="78"/>
      <c r="D35" s="88" t="s">
        <v>64</v>
      </c>
      <c r="E35" s="88" t="s">
        <v>65</v>
      </c>
      <c r="F35" s="88" t="s">
        <v>66</v>
      </c>
      <c r="G35" s="38"/>
    </row>
    <row r="36" spans="1:7" ht="15" x14ac:dyDescent="0.2">
      <c r="A36" s="82" t="s">
        <v>62</v>
      </c>
      <c r="B36" s="87">
        <f>+D36/(E36*F36)</f>
        <v>277.77777777777777</v>
      </c>
      <c r="C36" s="77" t="s">
        <v>63</v>
      </c>
      <c r="D36" s="87">
        <v>10000</v>
      </c>
      <c r="E36" s="77">
        <v>9</v>
      </c>
      <c r="F36" s="77">
        <v>4</v>
      </c>
      <c r="G36" s="77"/>
    </row>
    <row r="37" spans="1:7" ht="15" x14ac:dyDescent="0.2">
      <c r="A37" s="77"/>
      <c r="B37" s="77"/>
      <c r="C37" s="77"/>
      <c r="D37" s="77"/>
      <c r="E37" s="77"/>
      <c r="F37" s="82" t="s">
        <v>88</v>
      </c>
      <c r="G37" s="77">
        <v>150</v>
      </c>
    </row>
    <row r="38" spans="1:7" ht="15.75" x14ac:dyDescent="0.25">
      <c r="A38" s="78" t="s">
        <v>140</v>
      </c>
      <c r="B38" s="77"/>
      <c r="C38" s="77"/>
      <c r="D38" s="77"/>
      <c r="E38" s="77"/>
      <c r="F38" s="82"/>
      <c r="G38" s="77"/>
    </row>
    <row r="39" spans="1:7" ht="15" x14ac:dyDescent="0.2">
      <c r="A39" s="77"/>
      <c r="B39" s="77"/>
      <c r="C39" s="77"/>
      <c r="D39" s="77" t="s">
        <v>144</v>
      </c>
      <c r="E39" s="77"/>
      <c r="F39" s="82"/>
      <c r="G39" s="87">
        <f>+D40*C54</f>
        <v>134000</v>
      </c>
    </row>
    <row r="40" spans="1:7" ht="15" x14ac:dyDescent="0.2">
      <c r="A40" s="77"/>
      <c r="B40" s="77"/>
      <c r="C40" s="77"/>
      <c r="D40" s="195">
        <v>2000</v>
      </c>
      <c r="E40" s="77"/>
      <c r="F40" s="82"/>
      <c r="G40" s="77"/>
    </row>
    <row r="41" spans="1:7" ht="15.75" x14ac:dyDescent="0.25">
      <c r="A41" s="78" t="s">
        <v>8</v>
      </c>
      <c r="B41" s="77"/>
      <c r="C41" s="77"/>
      <c r="D41" s="77"/>
      <c r="E41" s="77"/>
      <c r="F41" s="77"/>
      <c r="G41" s="77"/>
    </row>
    <row r="42" spans="1:7" ht="15" x14ac:dyDescent="0.2">
      <c r="A42" s="89" t="s">
        <v>56</v>
      </c>
      <c r="B42" s="90"/>
      <c r="C42" s="77"/>
      <c r="D42" s="77"/>
      <c r="E42" s="77"/>
      <c r="F42" s="77"/>
      <c r="G42" s="77"/>
    </row>
    <row r="43" spans="1:7" ht="15" x14ac:dyDescent="0.2">
      <c r="A43" s="89" t="s">
        <v>57</v>
      </c>
      <c r="B43" s="90"/>
      <c r="C43" s="77"/>
      <c r="D43" s="77"/>
      <c r="E43" s="77"/>
      <c r="F43" s="77"/>
      <c r="G43" s="77"/>
    </row>
    <row r="44" spans="1:7" ht="15.75" x14ac:dyDescent="0.25">
      <c r="A44" s="77"/>
      <c r="B44" s="91" t="s">
        <v>76</v>
      </c>
      <c r="C44" s="77"/>
      <c r="D44" s="77"/>
      <c r="E44" s="88" t="s">
        <v>72</v>
      </c>
      <c r="F44" s="88" t="s">
        <v>73</v>
      </c>
      <c r="G44" s="92">
        <f>SUM(G45:G47)</f>
        <v>864.84986333333336</v>
      </c>
    </row>
    <row r="45" spans="1:7" ht="15.75" x14ac:dyDescent="0.25">
      <c r="A45" s="77"/>
      <c r="B45" s="78"/>
      <c r="C45" s="93" t="s">
        <v>74</v>
      </c>
      <c r="D45" s="93"/>
      <c r="E45" s="93">
        <v>8</v>
      </c>
      <c r="F45" s="93">
        <f>+C53</f>
        <v>62.84</v>
      </c>
      <c r="G45" s="94">
        <f>+E45*F45</f>
        <v>502.72</v>
      </c>
    </row>
    <row r="46" spans="1:7" ht="15.75" x14ac:dyDescent="0.25">
      <c r="A46" s="77"/>
      <c r="B46" s="78"/>
      <c r="C46" s="213" t="s">
        <v>75</v>
      </c>
      <c r="D46" s="214"/>
      <c r="E46" s="93"/>
      <c r="F46" s="93"/>
      <c r="G46" s="94">
        <f>+C49/C51</f>
        <v>196.80970833333333</v>
      </c>
    </row>
    <row r="47" spans="1:7" ht="15.75" x14ac:dyDescent="0.25">
      <c r="A47" s="77"/>
      <c r="B47" s="78"/>
      <c r="C47" s="93" t="s">
        <v>80</v>
      </c>
      <c r="D47" s="93"/>
      <c r="E47" s="93"/>
      <c r="F47" s="93"/>
      <c r="G47" s="94">
        <f>+C49*C52</f>
        <v>165.32015499999997</v>
      </c>
    </row>
    <row r="48" spans="1:7" ht="15" x14ac:dyDescent="0.2">
      <c r="A48" s="77"/>
      <c r="B48" s="95" t="s">
        <v>107</v>
      </c>
      <c r="C48" s="77"/>
      <c r="D48" s="77"/>
      <c r="E48" s="77"/>
      <c r="F48" s="77"/>
      <c r="G48" s="77"/>
    </row>
    <row r="49" spans="1:7" x14ac:dyDescent="0.2">
      <c r="A49" s="90"/>
      <c r="B49" s="96" t="s">
        <v>77</v>
      </c>
      <c r="C49" s="97">
        <f>F49*1.105*C54</f>
        <v>2361716.5</v>
      </c>
      <c r="D49" s="98" t="s">
        <v>81</v>
      </c>
      <c r="E49" s="90"/>
      <c r="F49" s="97">
        <v>31900</v>
      </c>
      <c r="G49" s="90" t="s">
        <v>110</v>
      </c>
    </row>
    <row r="50" spans="1:7" x14ac:dyDescent="0.2">
      <c r="A50" s="90"/>
      <c r="B50" s="96" t="s">
        <v>78</v>
      </c>
      <c r="C50" s="99">
        <f>+C49/C51</f>
        <v>196.80970833333333</v>
      </c>
      <c r="D50" s="98" t="s">
        <v>103</v>
      </c>
      <c r="E50" s="90"/>
      <c r="F50" s="90"/>
      <c r="G50" s="90"/>
    </row>
    <row r="51" spans="1:7" x14ac:dyDescent="0.2">
      <c r="A51" s="90"/>
      <c r="B51" s="96" t="s">
        <v>79</v>
      </c>
      <c r="C51" s="90">
        <v>12000</v>
      </c>
      <c r="D51" s="98" t="s">
        <v>82</v>
      </c>
      <c r="E51" s="90"/>
      <c r="F51" s="90"/>
      <c r="G51" s="90"/>
    </row>
    <row r="52" spans="1:7" x14ac:dyDescent="0.2">
      <c r="A52" s="90"/>
      <c r="B52" s="96" t="s">
        <v>100</v>
      </c>
      <c r="C52" s="100">
        <v>6.9999999999999994E-5</v>
      </c>
      <c r="D52" s="90"/>
      <c r="E52" s="90"/>
      <c r="F52" s="90"/>
      <c r="G52" s="90"/>
    </row>
    <row r="53" spans="1:7" x14ac:dyDescent="0.2">
      <c r="A53" s="90"/>
      <c r="B53" s="96" t="s">
        <v>108</v>
      </c>
      <c r="C53" s="90">
        <v>62.84</v>
      </c>
      <c r="D53" s="90" t="s">
        <v>109</v>
      </c>
      <c r="E53" s="90"/>
      <c r="F53" s="90"/>
      <c r="G53" s="90"/>
    </row>
    <row r="54" spans="1:7" x14ac:dyDescent="0.2">
      <c r="A54" s="90"/>
      <c r="B54" s="96" t="s">
        <v>111</v>
      </c>
      <c r="C54" s="90">
        <v>67</v>
      </c>
      <c r="D54" s="90"/>
      <c r="E54" s="90"/>
      <c r="F54" s="90"/>
      <c r="G54" s="90"/>
    </row>
  </sheetData>
  <mergeCells count="7">
    <mergeCell ref="A1:G1"/>
    <mergeCell ref="A26:F26"/>
    <mergeCell ref="A20:F20"/>
    <mergeCell ref="C46:D46"/>
    <mergeCell ref="A17:E17"/>
    <mergeCell ref="A18:E18"/>
    <mergeCell ref="A16:G16"/>
  </mergeCells>
  <phoneticPr fontId="0" type="noConversion"/>
  <printOptions horizontalCentered="1"/>
  <pageMargins left="0.86614173228346458" right="0.70866141732283472" top="1.04" bottom="0.82" header="0.51" footer="0.51181102362204722"/>
  <pageSetup paperSize="9" orientation="portrait" horizontalDpi="360" verticalDpi="300" r:id="rId1"/>
  <headerFooter alignWithMargins="0">
    <oddFooter xml:space="preserve">&amp;L          Ing Ftal Julio D. García&amp;ROctubre de 2007-Página 5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90" zoomScaleNormal="90" workbookViewId="0">
      <selection activeCell="P10" sqref="P10"/>
    </sheetView>
  </sheetViews>
  <sheetFormatPr baseColWidth="10" defaultRowHeight="12.75" x14ac:dyDescent="0.2"/>
  <cols>
    <col min="1" max="1" width="22.28515625" style="2" customWidth="1"/>
    <col min="2" max="16384" width="11.42578125" style="2"/>
  </cols>
  <sheetData>
    <row r="1" spans="1:9" ht="16.5" thickBot="1" x14ac:dyDescent="0.3">
      <c r="A1" s="216" t="s">
        <v>28</v>
      </c>
      <c r="B1" s="216"/>
      <c r="C1" s="216"/>
      <c r="D1" s="216"/>
      <c r="E1" s="216"/>
      <c r="F1" s="216"/>
      <c r="G1" s="216"/>
      <c r="H1" s="216"/>
      <c r="I1" s="216"/>
    </row>
    <row r="2" spans="1:9" ht="13.5" thickTop="1" x14ac:dyDescent="0.2">
      <c r="A2" s="101"/>
      <c r="B2" s="101" t="s">
        <v>9</v>
      </c>
      <c r="C2" s="102"/>
      <c r="D2" s="102" t="s">
        <v>10</v>
      </c>
      <c r="E2" s="102"/>
      <c r="F2" s="102" t="s">
        <v>11</v>
      </c>
      <c r="G2" s="102"/>
      <c r="H2" s="103" t="s">
        <v>12</v>
      </c>
      <c r="I2" s="103" t="s">
        <v>13</v>
      </c>
    </row>
    <row r="3" spans="1:9" ht="13.5" thickBot="1" x14ac:dyDescent="0.25">
      <c r="A3" s="104"/>
      <c r="B3" s="105" t="s">
        <v>14</v>
      </c>
      <c r="C3" s="105" t="s">
        <v>15</v>
      </c>
      <c r="D3" s="105" t="s">
        <v>16</v>
      </c>
      <c r="E3" s="105" t="s">
        <v>15</v>
      </c>
      <c r="F3" s="105" t="s">
        <v>17</v>
      </c>
      <c r="G3" s="105" t="s">
        <v>15</v>
      </c>
      <c r="H3" s="105" t="s">
        <v>15</v>
      </c>
      <c r="I3" s="105" t="s">
        <v>15</v>
      </c>
    </row>
    <row r="4" spans="1:9" x14ac:dyDescent="0.2">
      <c r="A4" s="106" t="s">
        <v>60</v>
      </c>
      <c r="B4" s="107"/>
      <c r="C4" s="107"/>
      <c r="D4" s="107"/>
      <c r="E4" s="107"/>
      <c r="F4" s="107"/>
      <c r="G4" s="107"/>
      <c r="H4" s="108"/>
      <c r="I4" s="109">
        <f>SUM(H5:H7)</f>
        <v>11930.783883</v>
      </c>
    </row>
    <row r="5" spans="1:9" x14ac:dyDescent="0.2">
      <c r="A5" s="110" t="s">
        <v>84</v>
      </c>
      <c r="B5" s="107"/>
      <c r="C5" s="107"/>
      <c r="D5" s="107"/>
      <c r="E5" s="107"/>
      <c r="F5" s="107"/>
      <c r="G5" s="107">
        <f>+compcost!G30</f>
        <v>6354.57438</v>
      </c>
      <c r="H5" s="107">
        <f t="shared" ref="H5:H14" si="0">C5+E5+G5</f>
        <v>6354.57438</v>
      </c>
      <c r="I5" s="109"/>
    </row>
    <row r="6" spans="1:9" x14ac:dyDescent="0.2">
      <c r="A6" s="110" t="s">
        <v>87</v>
      </c>
      <c r="B6" s="107">
        <f>+D6/8</f>
        <v>0.125</v>
      </c>
      <c r="C6" s="107">
        <f>+compcost!G$18*B6</f>
        <v>291.36880000000002</v>
      </c>
      <c r="D6" s="196">
        <v>1</v>
      </c>
      <c r="E6" s="107">
        <f>+D6*compcost!G5</f>
        <v>1297.274795</v>
      </c>
      <c r="F6" s="107"/>
      <c r="G6" s="107"/>
      <c r="H6" s="107">
        <f t="shared" si="0"/>
        <v>1588.643595</v>
      </c>
      <c r="I6" s="108"/>
    </row>
    <row r="7" spans="1:9" x14ac:dyDescent="0.2">
      <c r="A7" s="111" t="s">
        <v>61</v>
      </c>
      <c r="B7" s="107">
        <f>+D7/8</f>
        <v>0.375</v>
      </c>
      <c r="C7" s="112">
        <f>+compcost!G$18*B7</f>
        <v>874.10640000000012</v>
      </c>
      <c r="D7" s="196">
        <v>3</v>
      </c>
      <c r="E7" s="107">
        <f>+D7*compcost!G7</f>
        <v>3113.4595079999999</v>
      </c>
      <c r="F7" s="107"/>
      <c r="G7" s="107"/>
      <c r="H7" s="107">
        <f t="shared" si="0"/>
        <v>3987.565908</v>
      </c>
      <c r="I7" s="108"/>
    </row>
    <row r="8" spans="1:9" x14ac:dyDescent="0.2">
      <c r="A8" s="106" t="s">
        <v>18</v>
      </c>
      <c r="B8" s="107"/>
      <c r="C8" s="107"/>
      <c r="D8" s="107"/>
      <c r="E8" s="107"/>
      <c r="F8" s="107"/>
      <c r="G8" s="107"/>
      <c r="H8" s="108"/>
      <c r="I8" s="109">
        <f>SUM(H9:H14)</f>
        <v>36025.589541259258</v>
      </c>
    </row>
    <row r="9" spans="1:9" x14ac:dyDescent="0.2">
      <c r="A9" s="113" t="s">
        <v>19</v>
      </c>
      <c r="B9" s="107"/>
      <c r="C9" s="107"/>
      <c r="D9" s="107"/>
      <c r="E9" s="107"/>
      <c r="F9" s="107">
        <f>+compcost!G34</f>
        <v>277.77777777777777</v>
      </c>
      <c r="G9" s="107">
        <f>F9*compcost!G21</f>
        <v>12500</v>
      </c>
      <c r="H9" s="107">
        <f>C9+E9+G9</f>
        <v>12500</v>
      </c>
      <c r="I9" s="108"/>
    </row>
    <row r="10" spans="1:9" x14ac:dyDescent="0.2">
      <c r="A10" s="113" t="s">
        <v>41</v>
      </c>
      <c r="B10" s="107">
        <v>2</v>
      </c>
      <c r="C10" s="107">
        <f>+compcost!G$17</f>
        <v>2124.9295999999999</v>
      </c>
      <c r="D10" s="107"/>
      <c r="E10" s="107"/>
      <c r="F10" s="107"/>
      <c r="G10" s="107"/>
      <c r="H10" s="107">
        <f>C10+E10+G10</f>
        <v>2124.9295999999999</v>
      </c>
      <c r="I10" s="108"/>
    </row>
    <row r="11" spans="1:9" x14ac:dyDescent="0.2">
      <c r="A11" s="114" t="s">
        <v>67</v>
      </c>
      <c r="B11" s="107">
        <f>+D11/8</f>
        <v>0.69444444444444442</v>
      </c>
      <c r="C11" s="107">
        <f>B11*compcost!G$18</f>
        <v>1618.7155555555555</v>
      </c>
      <c r="D11" s="107">
        <f>+B19/B18</f>
        <v>5.5555555555555554</v>
      </c>
      <c r="E11" s="107">
        <f>D11*compcost!G11</f>
        <v>5765.6657555555548</v>
      </c>
      <c r="F11" s="108"/>
      <c r="G11" s="107"/>
      <c r="H11" s="107">
        <f t="shared" si="0"/>
        <v>7384.3813111111103</v>
      </c>
      <c r="I11" s="107"/>
    </row>
    <row r="12" spans="1:9" x14ac:dyDescent="0.2">
      <c r="A12" s="115" t="s">
        <v>20</v>
      </c>
      <c r="B12" s="107">
        <v>1.1299999999999999</v>
      </c>
      <c r="C12" s="107">
        <f>B12*compcost!G18</f>
        <v>2633.9739519999998</v>
      </c>
      <c r="D12" s="107">
        <v>1</v>
      </c>
      <c r="E12" s="107">
        <f>D12*compcost!G9</f>
        <v>864.84986333333336</v>
      </c>
      <c r="F12" s="107"/>
      <c r="G12" s="107"/>
      <c r="H12" s="107">
        <f t="shared" si="0"/>
        <v>3498.8238153333332</v>
      </c>
      <c r="I12" s="107"/>
    </row>
    <row r="13" spans="1:9" x14ac:dyDescent="0.2">
      <c r="A13" s="113" t="s">
        <v>21</v>
      </c>
      <c r="B13" s="107">
        <f>+compcost!G$34/compcost!G$37</f>
        <v>1.8518518518518519</v>
      </c>
      <c r="C13" s="107">
        <f>B13*compcost!G$17</f>
        <v>3935.0548148148146</v>
      </c>
      <c r="D13" s="107"/>
      <c r="E13" s="107"/>
      <c r="F13" s="107"/>
      <c r="G13" s="107"/>
      <c r="H13" s="107">
        <f t="shared" si="0"/>
        <v>3935.0548148148146</v>
      </c>
      <c r="I13" s="107"/>
    </row>
    <row r="14" spans="1:9" x14ac:dyDescent="0.2">
      <c r="A14" s="203" t="s">
        <v>165</v>
      </c>
      <c r="B14" s="196"/>
      <c r="C14" s="196"/>
      <c r="D14" s="196">
        <v>1</v>
      </c>
      <c r="E14" s="196">
        <f>+compcost!G31</f>
        <v>2080</v>
      </c>
      <c r="F14" s="196">
        <v>1</v>
      </c>
      <c r="G14" s="196">
        <f>+compcost!G23</f>
        <v>4502.3999999999996</v>
      </c>
      <c r="H14" s="196">
        <f t="shared" si="0"/>
        <v>6582.4</v>
      </c>
      <c r="I14" s="107"/>
    </row>
    <row r="15" spans="1:9" ht="12" customHeight="1" x14ac:dyDescent="0.2">
      <c r="A15" s="106" t="s">
        <v>22</v>
      </c>
      <c r="B15" s="107"/>
      <c r="C15" s="107"/>
      <c r="D15" s="107"/>
      <c r="E15" s="107"/>
      <c r="F15" s="107"/>
      <c r="G15" s="107"/>
      <c r="H15" s="108"/>
      <c r="I15" s="116">
        <f>SUM(H16:H16)</f>
        <v>9468.4860000000008</v>
      </c>
    </row>
    <row r="16" spans="1:9" ht="13.5" thickBot="1" x14ac:dyDescent="0.25">
      <c r="A16" s="197" t="s">
        <v>166</v>
      </c>
      <c r="B16" s="198">
        <v>3.75</v>
      </c>
      <c r="C16" s="117">
        <f>+compcost!G17*B16</f>
        <v>7968.4859999999999</v>
      </c>
      <c r="D16" s="117"/>
      <c r="E16" s="117"/>
      <c r="F16" s="117"/>
      <c r="G16" s="117">
        <f>compcost!G27</f>
        <v>1500</v>
      </c>
      <c r="H16" s="117">
        <f>C16+E16+G16</f>
        <v>9468.4860000000008</v>
      </c>
      <c r="I16" s="117"/>
    </row>
    <row r="17" spans="1:9" ht="14.25" x14ac:dyDescent="0.2">
      <c r="A17" s="90"/>
      <c r="B17" s="108"/>
      <c r="C17" s="108">
        <f>SUM(C4:C16)</f>
        <v>19446.635122370371</v>
      </c>
      <c r="D17" s="108"/>
      <c r="E17" s="108">
        <f>SUM(E5:E16)</f>
        <v>13121.249921888888</v>
      </c>
      <c r="F17" s="108"/>
      <c r="G17" s="108">
        <f>SUM(G5:G16)</f>
        <v>24856.97438</v>
      </c>
      <c r="H17" s="118" t="s">
        <v>23</v>
      </c>
      <c r="I17" s="119">
        <f>SUM(I4:I16)</f>
        <v>57424.859424259266</v>
      </c>
    </row>
    <row r="18" spans="1:9" x14ac:dyDescent="0.2">
      <c r="A18" s="98" t="s">
        <v>68</v>
      </c>
      <c r="B18" s="120">
        <v>50</v>
      </c>
      <c r="C18" s="99"/>
      <c r="D18" s="99"/>
      <c r="E18" s="99"/>
      <c r="F18" s="99"/>
      <c r="G18" s="99"/>
      <c r="H18" s="99"/>
      <c r="I18" s="90"/>
    </row>
    <row r="19" spans="1:9" x14ac:dyDescent="0.2">
      <c r="A19" s="98" t="s">
        <v>69</v>
      </c>
      <c r="B19" s="120">
        <f>+compcost!G34</f>
        <v>277.77777777777777</v>
      </c>
      <c r="C19" s="99"/>
      <c r="D19" s="99"/>
      <c r="E19" s="99"/>
      <c r="F19" s="99"/>
      <c r="G19" s="99"/>
      <c r="H19" s="99"/>
      <c r="I19" s="90"/>
    </row>
  </sheetData>
  <mergeCells count="1">
    <mergeCell ref="A1:I1"/>
  </mergeCells>
  <phoneticPr fontId="0" type="noConversion"/>
  <printOptions horizontalCentered="1"/>
  <pageMargins left="0.70866141732283472" right="0.55118110236220474" top="1.95" bottom="0.98425196850393704" header="1.1811023622047245" footer="0.51181102362204722"/>
  <pageSetup paperSize="9" orientation="landscape" horizontalDpi="360" verticalDpi="300" r:id="rId1"/>
  <headerFooter alignWithMargins="0">
    <oddHeader>&amp;R&amp;"Arial,Negrita"PROYECTO DE FORESTACION</oddHeader>
    <oddFooter>&amp;L          Ing Ftal Julio D. García&amp;ROctubre de 2007 - Página 6</oddFooter>
  </headerFooter>
  <ignoredErrors>
    <ignoredError sqref="C1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94" workbookViewId="0">
      <selection activeCell="A8" sqref="A8"/>
    </sheetView>
  </sheetViews>
  <sheetFormatPr baseColWidth="10" defaultRowHeight="12.75" x14ac:dyDescent="0.2"/>
  <cols>
    <col min="1" max="1" width="22.85546875" style="2" customWidth="1"/>
    <col min="2" max="16384" width="11.42578125" style="2"/>
  </cols>
  <sheetData>
    <row r="1" spans="1:9" ht="16.5" thickBot="1" x14ac:dyDescent="0.3">
      <c r="A1" s="217" t="s">
        <v>29</v>
      </c>
      <c r="B1" s="217"/>
      <c r="C1" s="217"/>
      <c r="D1" s="217"/>
      <c r="E1" s="217"/>
      <c r="F1" s="217"/>
      <c r="G1" s="217"/>
      <c r="H1" s="217"/>
      <c r="I1" s="217"/>
    </row>
    <row r="2" spans="1:9" ht="13.5" thickTop="1" x14ac:dyDescent="0.2">
      <c r="A2" s="7"/>
      <c r="B2" s="7" t="s">
        <v>9</v>
      </c>
      <c r="C2" s="8"/>
      <c r="D2" s="8" t="s">
        <v>10</v>
      </c>
      <c r="E2" s="8"/>
      <c r="F2" s="8" t="s">
        <v>11</v>
      </c>
      <c r="G2" s="8"/>
      <c r="H2" s="9" t="s">
        <v>12</v>
      </c>
      <c r="I2" s="9" t="s">
        <v>13</v>
      </c>
    </row>
    <row r="3" spans="1:9" ht="13.5" thickBot="1" x14ac:dyDescent="0.25">
      <c r="A3" s="10"/>
      <c r="B3" s="11" t="s">
        <v>14</v>
      </c>
      <c r="C3" s="11" t="s">
        <v>15</v>
      </c>
      <c r="D3" s="11" t="s">
        <v>16</v>
      </c>
      <c r="E3" s="11" t="s">
        <v>15</v>
      </c>
      <c r="F3" s="11" t="s">
        <v>17</v>
      </c>
      <c r="G3" s="11" t="s">
        <v>15</v>
      </c>
      <c r="H3" s="11" t="s">
        <v>15</v>
      </c>
      <c r="I3" s="11" t="s">
        <v>15</v>
      </c>
    </row>
    <row r="4" spans="1:9" x14ac:dyDescent="0.2">
      <c r="A4" s="12" t="s">
        <v>22</v>
      </c>
      <c r="B4" s="43"/>
      <c r="C4" s="43"/>
      <c r="D4" s="43"/>
      <c r="E4" s="43"/>
      <c r="F4" s="43"/>
      <c r="G4" s="43"/>
      <c r="H4" s="42"/>
      <c r="I4" s="44">
        <f>SUM(H5:H7)</f>
        <v>13540.321622333333</v>
      </c>
    </row>
    <row r="5" spans="1:9" x14ac:dyDescent="0.2">
      <c r="A5" s="12" t="s">
        <v>36</v>
      </c>
      <c r="B5" s="43">
        <v>2</v>
      </c>
      <c r="C5" s="43">
        <f>B5*compcost!G17</f>
        <v>4249.8591999999999</v>
      </c>
      <c r="D5" s="43"/>
      <c r="E5" s="43"/>
      <c r="F5" s="43"/>
      <c r="G5" s="43"/>
      <c r="H5" s="43">
        <f>C5+E5+G5</f>
        <v>4249.8591999999999</v>
      </c>
      <c r="I5" s="44"/>
    </row>
    <row r="6" spans="1:9" x14ac:dyDescent="0.2">
      <c r="A6" s="13" t="s">
        <v>24</v>
      </c>
      <c r="B6" s="43">
        <v>0.125</v>
      </c>
      <c r="C6" s="43">
        <f>B6*compcost!G$18</f>
        <v>291.36880000000002</v>
      </c>
      <c r="D6" s="43">
        <v>1</v>
      </c>
      <c r="E6" s="43">
        <f>D6*compcost!G12</f>
        <v>1124.3048223333335</v>
      </c>
      <c r="F6" s="43"/>
      <c r="G6" s="43"/>
      <c r="H6" s="43">
        <f>C6+E6+G6</f>
        <v>1415.6736223333335</v>
      </c>
      <c r="I6" s="43"/>
    </row>
    <row r="7" spans="1:9" ht="13.5" thickBot="1" x14ac:dyDescent="0.25">
      <c r="A7" s="197" t="s">
        <v>167</v>
      </c>
      <c r="B7" s="198">
        <v>3</v>
      </c>
      <c r="C7" s="46">
        <f>B7*compcost!G$17</f>
        <v>6374.7888000000003</v>
      </c>
      <c r="D7" s="46"/>
      <c r="E7" s="46"/>
      <c r="F7" s="46"/>
      <c r="G7" s="46">
        <f>compcost!G27</f>
        <v>1500</v>
      </c>
      <c r="H7" s="46">
        <f>C7+E7+G7</f>
        <v>7874.7888000000003</v>
      </c>
      <c r="I7" s="46"/>
    </row>
    <row r="8" spans="1:9" ht="14.25" x14ac:dyDescent="0.2">
      <c r="A8" s="6"/>
      <c r="B8" s="42"/>
      <c r="C8" s="45">
        <f>SUM(C5:C7)</f>
        <v>10916.016800000001</v>
      </c>
      <c r="D8" s="42"/>
      <c r="E8" s="45">
        <f>SUM(E5:E7)</f>
        <v>1124.3048223333335</v>
      </c>
      <c r="F8" s="42"/>
      <c r="G8" s="45">
        <f>SUM(G5:G7)</f>
        <v>1500</v>
      </c>
      <c r="H8" s="75" t="s">
        <v>23</v>
      </c>
      <c r="I8" s="45">
        <f>SUM(I4:I7)</f>
        <v>13540.321622333333</v>
      </c>
    </row>
    <row r="9" spans="1:9" x14ac:dyDescent="0.2">
      <c r="A9" s="6"/>
      <c r="B9" s="6"/>
      <c r="C9" s="6"/>
      <c r="D9" s="6"/>
      <c r="E9" s="6"/>
      <c r="F9" s="6"/>
      <c r="G9" s="6"/>
      <c r="H9" s="6"/>
      <c r="I9" s="6"/>
    </row>
  </sheetData>
  <mergeCells count="1">
    <mergeCell ref="A1:I1"/>
  </mergeCells>
  <phoneticPr fontId="0" type="noConversion"/>
  <printOptions horizontalCentered="1"/>
  <pageMargins left="0.7" right="0.55118110236220474" top="1.96" bottom="0.98425196850393704" header="1.4960629921259843" footer="0.51181102362204722"/>
  <pageSetup paperSize="9" orientation="landscape" horizontalDpi="360" verticalDpi="300" r:id="rId1"/>
  <headerFooter alignWithMargins="0">
    <oddHeader>&amp;R&amp;"Arial,Negrita"PROYECTO DE FORESTACION</oddHeader>
    <oddFooter xml:space="preserve">&amp;L          Ing Ftal Julio D. García&amp;ROctubre de 2007-Página  7
</oddFooter>
  </headerFooter>
  <ignoredErrors>
    <ignoredError sqref="C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94" workbookViewId="0">
      <selection activeCell="C7" sqref="C7"/>
    </sheetView>
  </sheetViews>
  <sheetFormatPr baseColWidth="10" defaultRowHeight="12.75" x14ac:dyDescent="0.2"/>
  <cols>
    <col min="1" max="1" width="24" style="2" customWidth="1"/>
    <col min="2" max="16384" width="11.42578125" style="2"/>
  </cols>
  <sheetData>
    <row r="1" spans="1:9" ht="16.5" thickBot="1" x14ac:dyDescent="0.3">
      <c r="A1" s="217" t="s">
        <v>30</v>
      </c>
      <c r="B1" s="217"/>
      <c r="C1" s="217"/>
      <c r="D1" s="217"/>
      <c r="E1" s="217"/>
      <c r="F1" s="217"/>
      <c r="G1" s="217"/>
      <c r="H1" s="217"/>
      <c r="I1" s="217"/>
    </row>
    <row r="2" spans="1:9" ht="13.5" thickTop="1" x14ac:dyDescent="0.2">
      <c r="A2" s="7"/>
      <c r="B2" s="7" t="s">
        <v>9</v>
      </c>
      <c r="C2" s="8"/>
      <c r="D2" s="8" t="s">
        <v>10</v>
      </c>
      <c r="E2" s="8"/>
      <c r="F2" s="8" t="s">
        <v>11</v>
      </c>
      <c r="G2" s="8"/>
      <c r="H2" s="9" t="s">
        <v>12</v>
      </c>
      <c r="I2" s="9" t="s">
        <v>13</v>
      </c>
    </row>
    <row r="3" spans="1:9" ht="13.5" thickBot="1" x14ac:dyDescent="0.25">
      <c r="A3" s="10"/>
      <c r="B3" s="11" t="s">
        <v>14</v>
      </c>
      <c r="C3" s="11" t="s">
        <v>15</v>
      </c>
      <c r="D3" s="11" t="s">
        <v>16</v>
      </c>
      <c r="E3" s="11" t="s">
        <v>15</v>
      </c>
      <c r="F3" s="11" t="s">
        <v>17</v>
      </c>
      <c r="G3" s="11" t="s">
        <v>15</v>
      </c>
      <c r="H3" s="11" t="s">
        <v>15</v>
      </c>
      <c r="I3" s="11" t="s">
        <v>15</v>
      </c>
    </row>
    <row r="4" spans="1:9" x14ac:dyDescent="0.2">
      <c r="A4" s="12" t="s">
        <v>22</v>
      </c>
      <c r="B4" s="43"/>
      <c r="C4" s="43"/>
      <c r="D4" s="43"/>
      <c r="E4" s="43"/>
      <c r="F4" s="43"/>
      <c r="G4" s="43"/>
      <c r="H4" s="42"/>
      <c r="I4" s="44">
        <f>SUM(H5:H7)</f>
        <v>14577.033822333335</v>
      </c>
    </row>
    <row r="5" spans="1:9" x14ac:dyDescent="0.2">
      <c r="A5" s="12" t="s">
        <v>37</v>
      </c>
      <c r="B5" s="43">
        <v>3</v>
      </c>
      <c r="C5" s="43">
        <f>B5*compcost!G17</f>
        <v>6374.7888000000003</v>
      </c>
      <c r="D5" s="42"/>
      <c r="E5" s="43"/>
      <c r="F5" s="43"/>
      <c r="G5" s="43"/>
      <c r="H5" s="43">
        <f>C5+E5+G5</f>
        <v>6374.7888000000003</v>
      </c>
      <c r="I5" s="44"/>
    </row>
    <row r="6" spans="1:9" x14ac:dyDescent="0.2">
      <c r="A6" s="13" t="s">
        <v>24</v>
      </c>
      <c r="B6" s="43">
        <v>0.125</v>
      </c>
      <c r="C6" s="43">
        <f>B6*compcost!G17</f>
        <v>265.61619999999999</v>
      </c>
      <c r="D6" s="43">
        <f>B6*8</f>
        <v>1</v>
      </c>
      <c r="E6" s="43">
        <f>D6*compcost!G12</f>
        <v>1124.3048223333335</v>
      </c>
      <c r="F6" s="43"/>
      <c r="G6" s="43"/>
      <c r="H6" s="43">
        <f>C6+E6+G6</f>
        <v>1389.9210223333334</v>
      </c>
      <c r="I6" s="43"/>
    </row>
    <row r="7" spans="1:9" ht="13.5" thickBot="1" x14ac:dyDescent="0.25">
      <c r="A7" s="197" t="s">
        <v>158</v>
      </c>
      <c r="B7" s="198">
        <v>2.5</v>
      </c>
      <c r="C7" s="46">
        <f>B7*compcost!G17</f>
        <v>5312.3239999999996</v>
      </c>
      <c r="D7" s="46"/>
      <c r="E7" s="46"/>
      <c r="F7" s="46"/>
      <c r="G7" s="46">
        <f>compcost!G27</f>
        <v>1500</v>
      </c>
      <c r="H7" s="46">
        <f>C7+E7+G7</f>
        <v>6812.3239999999996</v>
      </c>
      <c r="I7" s="46"/>
    </row>
    <row r="8" spans="1:9" ht="14.25" x14ac:dyDescent="0.2">
      <c r="A8" s="6"/>
      <c r="B8" s="42"/>
      <c r="C8" s="45">
        <f>SUM(C5:C7)</f>
        <v>11952.728999999999</v>
      </c>
      <c r="D8" s="42"/>
      <c r="E8" s="45">
        <f>SUM(E5:E7)</f>
        <v>1124.3048223333335</v>
      </c>
      <c r="F8" s="42"/>
      <c r="G8" s="45">
        <f>SUM(G5:G7)</f>
        <v>1500</v>
      </c>
      <c r="H8" s="66" t="s">
        <v>23</v>
      </c>
      <c r="I8" s="45">
        <f>SUM(I4:I7)</f>
        <v>14577.033822333335</v>
      </c>
    </row>
    <row r="9" spans="1:9" x14ac:dyDescent="0.2">
      <c r="A9" s="6"/>
      <c r="B9" s="6"/>
      <c r="C9" s="6"/>
      <c r="D9" s="6"/>
      <c r="E9" s="6"/>
      <c r="F9" s="6"/>
      <c r="G9" s="6"/>
      <c r="H9" s="6"/>
      <c r="I9" s="6"/>
    </row>
    <row r="10" spans="1:9" x14ac:dyDescent="0.2">
      <c r="B10" s="1"/>
    </row>
  </sheetData>
  <mergeCells count="1">
    <mergeCell ref="A1:I1"/>
  </mergeCells>
  <phoneticPr fontId="0" type="noConversion"/>
  <printOptions horizontalCentered="1"/>
  <pageMargins left="0.67" right="0.55118110236220474" top="1.88" bottom="0.98425196850393704" header="1.4960629921259843" footer="0.51181102362204722"/>
  <pageSetup paperSize="9" orientation="landscape" horizontalDpi="360" verticalDpi="300" r:id="rId1"/>
  <headerFooter alignWithMargins="0">
    <oddHeader>&amp;R&amp;"Arial,Negrita"PROYECTO DE FORESTACION</oddHeader>
    <oddFooter>&amp;L          Ing Ftal Julio D. García&amp;ROctubre de 2007-Página 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94" workbookViewId="0">
      <selection activeCell="C7" sqref="C7"/>
    </sheetView>
  </sheetViews>
  <sheetFormatPr baseColWidth="10" defaultRowHeight="12.75" x14ac:dyDescent="0.2"/>
  <cols>
    <col min="1" max="1" width="23.7109375" style="2" customWidth="1"/>
    <col min="2" max="16384" width="11.42578125" style="2"/>
  </cols>
  <sheetData>
    <row r="1" spans="1:9" ht="16.5" thickBot="1" x14ac:dyDescent="0.3">
      <c r="A1" s="217" t="s">
        <v>31</v>
      </c>
      <c r="B1" s="217"/>
      <c r="C1" s="217"/>
      <c r="D1" s="217"/>
      <c r="E1" s="217"/>
      <c r="F1" s="217"/>
      <c r="G1" s="217"/>
      <c r="H1" s="217"/>
      <c r="I1" s="217"/>
    </row>
    <row r="2" spans="1:9" ht="13.5" thickTop="1" x14ac:dyDescent="0.2">
      <c r="A2" s="7"/>
      <c r="B2" s="7" t="s">
        <v>9</v>
      </c>
      <c r="C2" s="8"/>
      <c r="D2" s="8" t="s">
        <v>10</v>
      </c>
      <c r="E2" s="8"/>
      <c r="F2" s="8" t="s">
        <v>11</v>
      </c>
      <c r="G2" s="8"/>
      <c r="H2" s="9" t="s">
        <v>12</v>
      </c>
      <c r="I2" s="9" t="s">
        <v>13</v>
      </c>
    </row>
    <row r="3" spans="1:9" ht="13.5" thickBot="1" x14ac:dyDescent="0.25">
      <c r="A3" s="10"/>
      <c r="B3" s="11" t="s">
        <v>14</v>
      </c>
      <c r="C3" s="11" t="s">
        <v>15</v>
      </c>
      <c r="D3" s="11" t="s">
        <v>16</v>
      </c>
      <c r="E3" s="11" t="s">
        <v>15</v>
      </c>
      <c r="F3" s="11" t="s">
        <v>17</v>
      </c>
      <c r="G3" s="11" t="s">
        <v>15</v>
      </c>
      <c r="H3" s="11" t="s">
        <v>15</v>
      </c>
      <c r="I3" s="11" t="s">
        <v>15</v>
      </c>
    </row>
    <row r="4" spans="1:9" x14ac:dyDescent="0.2">
      <c r="A4" s="12" t="s">
        <v>22</v>
      </c>
      <c r="B4" s="43"/>
      <c r="C4" s="43"/>
      <c r="D4" s="43"/>
      <c r="E4" s="43"/>
      <c r="F4" s="43"/>
      <c r="G4" s="43"/>
      <c r="H4" s="42"/>
      <c r="I4" s="44">
        <f>SUM(H5:H7)</f>
        <v>15639.498622333333</v>
      </c>
    </row>
    <row r="5" spans="1:9" x14ac:dyDescent="0.2">
      <c r="A5" s="12" t="s">
        <v>37</v>
      </c>
      <c r="B5" s="43">
        <v>4</v>
      </c>
      <c r="C5" s="43">
        <f>B5*compcost!G17</f>
        <v>8499.7183999999997</v>
      </c>
      <c r="D5" s="42"/>
      <c r="E5" s="43"/>
      <c r="F5" s="43"/>
      <c r="G5" s="43"/>
      <c r="H5" s="43">
        <f>C5+E5+G5</f>
        <v>8499.7183999999997</v>
      </c>
      <c r="I5" s="44"/>
    </row>
    <row r="6" spans="1:9" x14ac:dyDescent="0.2">
      <c r="A6" s="13" t="s">
        <v>24</v>
      </c>
      <c r="B6" s="43">
        <v>0.125</v>
      </c>
      <c r="C6" s="43">
        <f>B6*compcost!G17</f>
        <v>265.61619999999999</v>
      </c>
      <c r="D6" s="43">
        <f>B6*8</f>
        <v>1</v>
      </c>
      <c r="E6" s="43">
        <f>D6*compcost!G12</f>
        <v>1124.3048223333335</v>
      </c>
      <c r="F6" s="43"/>
      <c r="G6" s="43"/>
      <c r="H6" s="43">
        <f>C6+E6+G6</f>
        <v>1389.9210223333334</v>
      </c>
      <c r="I6" s="43"/>
    </row>
    <row r="7" spans="1:9" ht="13.5" thickBot="1" x14ac:dyDescent="0.25">
      <c r="A7" s="197" t="s">
        <v>159</v>
      </c>
      <c r="B7" s="198">
        <v>2</v>
      </c>
      <c r="C7" s="46">
        <f>B7*compcost!G$17</f>
        <v>4249.8591999999999</v>
      </c>
      <c r="D7" s="46"/>
      <c r="E7" s="46"/>
      <c r="F7" s="46"/>
      <c r="G7" s="46">
        <f>compcost!G27</f>
        <v>1500</v>
      </c>
      <c r="H7" s="46">
        <f>C7+E7+G7</f>
        <v>5749.8591999999999</v>
      </c>
      <c r="I7" s="46"/>
    </row>
    <row r="8" spans="1:9" ht="14.25" x14ac:dyDescent="0.2">
      <c r="A8" s="6"/>
      <c r="B8" s="42"/>
      <c r="C8" s="45">
        <f>SUM(C5:C7)</f>
        <v>13015.193800000001</v>
      </c>
      <c r="D8" s="42"/>
      <c r="E8" s="45">
        <f>SUM(E5:E7)</f>
        <v>1124.3048223333335</v>
      </c>
      <c r="F8" s="42"/>
      <c r="G8" s="45">
        <f>SUM(G5:G7)</f>
        <v>1500</v>
      </c>
      <c r="H8" s="75" t="s">
        <v>23</v>
      </c>
      <c r="I8" s="45">
        <f>SUM(I4:I7)</f>
        <v>15639.498622333333</v>
      </c>
    </row>
    <row r="9" spans="1:9" x14ac:dyDescent="0.2">
      <c r="A9" s="6"/>
      <c r="B9" s="6"/>
      <c r="C9" s="6"/>
      <c r="D9" s="6"/>
      <c r="E9" s="6"/>
      <c r="F9" s="6"/>
      <c r="G9" s="6"/>
      <c r="H9" s="6"/>
      <c r="I9" s="6"/>
    </row>
  </sheetData>
  <mergeCells count="1">
    <mergeCell ref="A1:I1"/>
  </mergeCells>
  <phoneticPr fontId="0" type="noConversion"/>
  <printOptions horizontalCentered="1"/>
  <pageMargins left="0.7" right="0.55118110236220474" top="1.7716535433070868" bottom="0.98425196850393704" header="1.4960629921259843" footer="0.51181102362204722"/>
  <pageSetup paperSize="9" orientation="landscape" horizontalDpi="360" verticalDpi="300" r:id="rId1"/>
  <headerFooter alignWithMargins="0">
    <oddHeader>&amp;R&amp;"Arial,Negrita"PROYECTO DE FORESTACION</oddHeader>
    <oddFooter xml:space="preserve">&amp;L          Ing Ftal Julio D. García&amp;ROctubre de 2007 - Página 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94" workbookViewId="0">
      <selection activeCell="A6" sqref="A6"/>
    </sheetView>
  </sheetViews>
  <sheetFormatPr baseColWidth="10" defaultRowHeight="12.75" x14ac:dyDescent="0.2"/>
  <cols>
    <col min="1" max="1" width="24.42578125" style="2" customWidth="1"/>
    <col min="2" max="16384" width="11.42578125" style="2"/>
  </cols>
  <sheetData>
    <row r="1" spans="1:9" ht="16.5" thickBot="1" x14ac:dyDescent="0.3">
      <c r="A1" s="217" t="s">
        <v>129</v>
      </c>
      <c r="B1" s="217"/>
      <c r="C1" s="217"/>
      <c r="D1" s="217"/>
      <c r="E1" s="217"/>
      <c r="F1" s="217"/>
      <c r="G1" s="217"/>
      <c r="H1" s="217"/>
      <c r="I1" s="217"/>
    </row>
    <row r="2" spans="1:9" ht="13.5" thickTop="1" x14ac:dyDescent="0.2">
      <c r="A2" s="7"/>
      <c r="B2" s="7" t="s">
        <v>9</v>
      </c>
      <c r="C2" s="8"/>
      <c r="D2" s="8" t="s">
        <v>10</v>
      </c>
      <c r="E2" s="8"/>
      <c r="F2" s="8" t="s">
        <v>11</v>
      </c>
      <c r="G2" s="8"/>
      <c r="H2" s="9" t="s">
        <v>12</v>
      </c>
      <c r="I2" s="9" t="s">
        <v>13</v>
      </c>
    </row>
    <row r="3" spans="1:9" ht="13.5" thickBot="1" x14ac:dyDescent="0.25">
      <c r="A3" s="10"/>
      <c r="B3" s="11" t="s">
        <v>14</v>
      </c>
      <c r="C3" s="11" t="s">
        <v>15</v>
      </c>
      <c r="D3" s="11" t="s">
        <v>16</v>
      </c>
      <c r="E3" s="11" t="s">
        <v>15</v>
      </c>
      <c r="F3" s="11" t="s">
        <v>17</v>
      </c>
      <c r="G3" s="11" t="s">
        <v>15</v>
      </c>
      <c r="H3" s="11" t="s">
        <v>15</v>
      </c>
      <c r="I3" s="11" t="s">
        <v>15</v>
      </c>
    </row>
    <row r="4" spans="1:9" x14ac:dyDescent="0.2">
      <c r="A4" s="12" t="s">
        <v>22</v>
      </c>
      <c r="B4" s="43"/>
      <c r="C4" s="43"/>
      <c r="D4" s="43"/>
      <c r="E4" s="43"/>
      <c r="F4" s="43"/>
      <c r="G4" s="43"/>
      <c r="H4" s="42"/>
      <c r="I4" s="44">
        <f>SUM(H5:H7)</f>
        <v>14603.377063226668</v>
      </c>
    </row>
    <row r="5" spans="1:9" x14ac:dyDescent="0.2">
      <c r="A5" s="13" t="s">
        <v>24</v>
      </c>
      <c r="B5" s="43">
        <v>0.13</v>
      </c>
      <c r="C5" s="43">
        <f>B5*compcost!G17</f>
        <v>276.24084800000003</v>
      </c>
      <c r="D5" s="43">
        <f>B5*8</f>
        <v>1.04</v>
      </c>
      <c r="E5" s="43">
        <f>D5*compcost!G12</f>
        <v>1169.2770152266669</v>
      </c>
      <c r="F5" s="43"/>
      <c r="G5" s="43"/>
      <c r="H5" s="43">
        <f>C5+E5+G5</f>
        <v>1445.517863226667</v>
      </c>
      <c r="I5" s="43"/>
    </row>
    <row r="6" spans="1:9" x14ac:dyDescent="0.2">
      <c r="A6" s="203" t="s">
        <v>165</v>
      </c>
      <c r="B6" s="196"/>
      <c r="C6" s="196"/>
      <c r="D6" s="196">
        <v>1</v>
      </c>
      <c r="E6" s="196">
        <f>+compcost!G32</f>
        <v>3120</v>
      </c>
      <c r="F6" s="196">
        <v>1</v>
      </c>
      <c r="G6" s="196">
        <f>+compcost!G24</f>
        <v>4288</v>
      </c>
      <c r="H6" s="196">
        <f t="shared" ref="H6" si="0">C6+E6+G6</f>
        <v>7408</v>
      </c>
      <c r="I6" s="107"/>
    </row>
    <row r="7" spans="1:9" ht="13.5" thickBot="1" x14ac:dyDescent="0.25">
      <c r="A7" s="199" t="s">
        <v>159</v>
      </c>
      <c r="B7" s="198">
        <v>2</v>
      </c>
      <c r="C7" s="46">
        <f>B7*compcost!G17</f>
        <v>4249.8591999999999</v>
      </c>
      <c r="D7" s="46"/>
      <c r="E7" s="46"/>
      <c r="F7" s="46"/>
      <c r="G7" s="46">
        <f>compcost!G27</f>
        <v>1500</v>
      </c>
      <c r="H7" s="46">
        <f>C7+E7+G7</f>
        <v>5749.8591999999999</v>
      </c>
      <c r="I7" s="46"/>
    </row>
    <row r="8" spans="1:9" ht="14.25" x14ac:dyDescent="0.2">
      <c r="A8" s="6"/>
      <c r="B8" s="42"/>
      <c r="C8" s="45">
        <f>SUM(C5:C7)</f>
        <v>4526.1000480000002</v>
      </c>
      <c r="D8" s="42"/>
      <c r="E8" s="45">
        <f>SUM(E5:E7)</f>
        <v>4289.2770152266667</v>
      </c>
      <c r="F8" s="42"/>
      <c r="G8" s="45">
        <f>SUM(G5:G7)</f>
        <v>5788</v>
      </c>
      <c r="H8" s="75" t="s">
        <v>23</v>
      </c>
      <c r="I8" s="45">
        <f>SUM(I4:I7)</f>
        <v>14603.377063226668</v>
      </c>
    </row>
    <row r="9" spans="1:9" x14ac:dyDescent="0.2">
      <c r="A9" s="6"/>
      <c r="B9" s="6"/>
      <c r="C9" s="39"/>
      <c r="D9" s="6"/>
      <c r="E9" s="6"/>
      <c r="F9" s="6"/>
      <c r="G9" s="6"/>
      <c r="H9" s="6"/>
      <c r="I9" s="6"/>
    </row>
    <row r="12" spans="1:9" x14ac:dyDescent="0.2">
      <c r="A12" s="40"/>
    </row>
    <row r="16" spans="1:9" x14ac:dyDescent="0.2">
      <c r="A16" s="4"/>
    </row>
    <row r="18" spans="1:3" x14ac:dyDescent="0.2">
      <c r="A18" s="4"/>
      <c r="C18" s="4"/>
    </row>
    <row r="19" spans="1:3" x14ac:dyDescent="0.2">
      <c r="B19" s="40"/>
    </row>
  </sheetData>
  <mergeCells count="1">
    <mergeCell ref="A1:I1"/>
  </mergeCells>
  <printOptions horizontalCentered="1"/>
  <pageMargins left="0.67" right="0.55118110236220474" top="2" bottom="0.98425196850393704" header="1.4960629921259843" footer="0.51181102362204722"/>
  <pageSetup paperSize="9" orientation="landscape" horizontalDpi="360" verticalDpi="300" r:id="rId1"/>
  <headerFooter alignWithMargins="0">
    <oddHeader>&amp;L&amp;"Arial,Negrita"
&amp;R&amp;"Arial,Negrita"PROYECTO DE FORESTACION</oddHeader>
    <oddFooter xml:space="preserve">&amp;L          Ing Ftal Julio D. García&amp;ROctubre de 2007 - Página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94" workbookViewId="0">
      <selection activeCell="A9" sqref="A9"/>
    </sheetView>
  </sheetViews>
  <sheetFormatPr baseColWidth="10" defaultRowHeight="12.75" x14ac:dyDescent="0.2"/>
  <cols>
    <col min="1" max="1" width="24.42578125" style="2" customWidth="1"/>
    <col min="2" max="16384" width="11.42578125" style="2"/>
  </cols>
  <sheetData>
    <row r="1" spans="1:9" ht="16.5" thickBot="1" x14ac:dyDescent="0.3">
      <c r="A1" s="217" t="s">
        <v>129</v>
      </c>
      <c r="B1" s="217"/>
      <c r="C1" s="217"/>
      <c r="D1" s="217"/>
      <c r="E1" s="217"/>
      <c r="F1" s="217"/>
      <c r="G1" s="217"/>
      <c r="H1" s="217"/>
      <c r="I1" s="217"/>
    </row>
    <row r="2" spans="1:9" ht="13.5" thickTop="1" x14ac:dyDescent="0.2">
      <c r="A2" s="7"/>
      <c r="B2" s="7" t="s">
        <v>9</v>
      </c>
      <c r="C2" s="8"/>
      <c r="D2" s="8" t="s">
        <v>10</v>
      </c>
      <c r="E2" s="8"/>
      <c r="F2" s="8" t="s">
        <v>11</v>
      </c>
      <c r="G2" s="8"/>
      <c r="H2" s="9" t="s">
        <v>12</v>
      </c>
      <c r="I2" s="9" t="s">
        <v>13</v>
      </c>
    </row>
    <row r="3" spans="1:9" ht="13.5" thickBot="1" x14ac:dyDescent="0.25">
      <c r="A3" s="10"/>
      <c r="B3" s="11" t="s">
        <v>14</v>
      </c>
      <c r="C3" s="11" t="s">
        <v>15</v>
      </c>
      <c r="D3" s="11" t="s">
        <v>16</v>
      </c>
      <c r="E3" s="11" t="s">
        <v>15</v>
      </c>
      <c r="F3" s="11" t="s">
        <v>17</v>
      </c>
      <c r="G3" s="11" t="s">
        <v>15</v>
      </c>
      <c r="H3" s="11" t="s">
        <v>15</v>
      </c>
      <c r="I3" s="11" t="s">
        <v>15</v>
      </c>
    </row>
    <row r="4" spans="1:9" x14ac:dyDescent="0.2">
      <c r="A4" s="12" t="s">
        <v>22</v>
      </c>
      <c r="B4" s="43"/>
      <c r="C4" s="43"/>
      <c r="D4" s="43"/>
      <c r="E4" s="43"/>
      <c r="F4" s="43"/>
      <c r="G4" s="43"/>
      <c r="H4" s="42"/>
      <c r="I4" s="44">
        <f>SUM(H5:H6)</f>
        <v>7195.3770632266669</v>
      </c>
    </row>
    <row r="5" spans="1:9" x14ac:dyDescent="0.2">
      <c r="A5" s="13" t="s">
        <v>24</v>
      </c>
      <c r="B5" s="43">
        <v>0.13</v>
      </c>
      <c r="C5" s="43">
        <f>B5*compcost!G17</f>
        <v>276.24084800000003</v>
      </c>
      <c r="D5" s="43">
        <f>B5*8</f>
        <v>1.04</v>
      </c>
      <c r="E5" s="43">
        <f>D5*compcost!G12</f>
        <v>1169.2770152266669</v>
      </c>
      <c r="F5" s="43"/>
      <c r="G5" s="43"/>
      <c r="H5" s="43">
        <f>C5+E5+G5</f>
        <v>1445.517863226667</v>
      </c>
      <c r="I5" s="43"/>
    </row>
    <row r="6" spans="1:9" ht="13.5" thickBot="1" x14ac:dyDescent="0.25">
      <c r="A6" s="199" t="s">
        <v>159</v>
      </c>
      <c r="B6" s="198">
        <v>2</v>
      </c>
      <c r="C6" s="46">
        <f>B6*compcost!G17</f>
        <v>4249.8591999999999</v>
      </c>
      <c r="D6" s="46"/>
      <c r="E6" s="46"/>
      <c r="F6" s="46"/>
      <c r="G6" s="46">
        <f>compcost!G27</f>
        <v>1500</v>
      </c>
      <c r="H6" s="46">
        <f>C6+E6+G6</f>
        <v>5749.8591999999999</v>
      </c>
      <c r="I6" s="46"/>
    </row>
    <row r="7" spans="1:9" ht="14.25" x14ac:dyDescent="0.2">
      <c r="A7" s="6"/>
      <c r="B7" s="42"/>
      <c r="C7" s="45">
        <f>SUM(C5:C6)</f>
        <v>4526.1000480000002</v>
      </c>
      <c r="D7" s="42"/>
      <c r="E7" s="45">
        <f>SUM(E5:E6)</f>
        <v>1169.2770152266669</v>
      </c>
      <c r="F7" s="42"/>
      <c r="G7" s="45">
        <f>SUM(G5:G6)</f>
        <v>1500</v>
      </c>
      <c r="H7" s="75" t="s">
        <v>23</v>
      </c>
      <c r="I7" s="45">
        <f>SUM(I4:I6)</f>
        <v>7195.3770632266669</v>
      </c>
    </row>
    <row r="8" spans="1:9" x14ac:dyDescent="0.2">
      <c r="A8" s="6"/>
      <c r="B8" s="6"/>
      <c r="C8" s="39"/>
      <c r="D8" s="6"/>
      <c r="E8" s="6"/>
      <c r="F8" s="6"/>
      <c r="G8" s="6"/>
      <c r="H8" s="6"/>
      <c r="I8" s="6"/>
    </row>
    <row r="11" spans="1:9" x14ac:dyDescent="0.2">
      <c r="A11" s="40"/>
    </row>
    <row r="15" spans="1:9" x14ac:dyDescent="0.2">
      <c r="A15" s="4"/>
    </row>
    <row r="17" spans="1:3" x14ac:dyDescent="0.2">
      <c r="A17" s="4"/>
      <c r="C17" s="4"/>
    </row>
    <row r="18" spans="1:3" x14ac:dyDescent="0.2">
      <c r="B18" s="40"/>
    </row>
  </sheetData>
  <mergeCells count="1">
    <mergeCell ref="A1:I1"/>
  </mergeCells>
  <phoneticPr fontId="0" type="noConversion"/>
  <printOptions horizontalCentered="1"/>
  <pageMargins left="0.67" right="0.55118110236220474" top="2" bottom="0.98425196850393704" header="1.4960629921259843" footer="0.51181102362204722"/>
  <pageSetup paperSize="9" orientation="landscape" horizontalDpi="360" verticalDpi="300" r:id="rId1"/>
  <headerFooter alignWithMargins="0">
    <oddHeader>&amp;L&amp;"Arial,Negrita"
&amp;R&amp;"Arial,Negrita"PROYECTO DE FORESTACION</oddHeader>
    <oddFooter xml:space="preserve">&amp;L          Ing Ftal Julio D. García&amp;ROctubre de 2007 - Página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CARATULA</vt:lpstr>
      <vt:lpstr>MEMORIA </vt:lpstr>
      <vt:lpstr>compcost</vt:lpstr>
      <vt:lpstr>A1</vt:lpstr>
      <vt:lpstr>A2</vt:lpstr>
      <vt:lpstr>A3</vt:lpstr>
      <vt:lpstr>A4-5</vt:lpstr>
      <vt:lpstr>A6</vt:lpstr>
      <vt:lpstr>A7-15</vt:lpstr>
      <vt:lpstr>EGRESOS</vt:lpstr>
      <vt:lpstr>INGRESOS</vt:lpstr>
      <vt:lpstr>RENTABILIDAD</vt:lpstr>
      <vt:lpstr>CARATULA!Área_de_impresión</vt:lpstr>
      <vt:lpstr>compcost!Área_de_impresión</vt:lpstr>
      <vt:lpstr>EGRESOS!Área_de_impresión</vt:lpstr>
      <vt:lpstr>INGRESOS!Área_de_impresión</vt:lpstr>
      <vt:lpstr>RENTABILIDAD!Área_de_impresión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Costo de forestación</dc:title>
  <dc:creator>xxx</dc:creator>
  <cp:lastModifiedBy>Forestal</cp:lastModifiedBy>
  <cp:lastPrinted>2007-10-04T15:49:39Z</cp:lastPrinted>
  <dcterms:created xsi:type="dcterms:W3CDTF">1999-01-20T22:45:54Z</dcterms:created>
  <dcterms:modified xsi:type="dcterms:W3CDTF">2020-05-28T18:11:21Z</dcterms:modified>
</cp:coreProperties>
</file>