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embeddings/oleObject3.bin" ContentType="application/vnd.openxmlformats-officedocument.oleObject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style2.xml" ContentType="application/vnd.ms-office.chartstyle+xml"/>
  <Override PartName="/xl/charts/style3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3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 activeTab="2"/>
  </bookViews>
  <sheets>
    <sheet name="Consignas" sheetId="2" r:id="rId1"/>
    <sheet name="Cálculos" sheetId="1" r:id="rId2"/>
    <sheet name="Manejo" sheetId="3" r:id="rId3"/>
  </sheets>
  <definedNames>
    <definedName name="_xlnm.Print_Area" localSheetId="1">Cálculos!$A$1:$Y$45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3"/>
  <c r="G19"/>
  <c r="J8" i="1" l="1"/>
  <c r="G6" i="3" s="1"/>
  <c r="F19"/>
  <c r="F15" i="1"/>
  <c r="F16"/>
  <c r="F17"/>
  <c r="F18"/>
  <c r="F19"/>
  <c r="F20"/>
  <c r="F21"/>
  <c r="F22"/>
  <c r="F23"/>
  <c r="F24"/>
  <c r="F25"/>
  <c r="E15"/>
  <c r="E16"/>
  <c r="E17"/>
  <c r="E18"/>
  <c r="E19"/>
  <c r="E20"/>
  <c r="E21"/>
  <c r="E22"/>
  <c r="E23"/>
  <c r="E24"/>
  <c r="E25"/>
  <c r="Q24" l="1"/>
  <c r="J9" l="1"/>
  <c r="F14"/>
  <c r="E14"/>
  <c r="T15" l="1"/>
  <c r="T16"/>
  <c r="T17"/>
  <c r="T18"/>
  <c r="T14"/>
  <c r="S19"/>
  <c r="S20"/>
  <c r="S21"/>
  <c r="S22"/>
  <c r="S23"/>
  <c r="S24"/>
  <c r="S25"/>
  <c r="D26"/>
  <c r="J10"/>
  <c r="I15" l="1"/>
  <c r="J15" s="1"/>
  <c r="I19"/>
  <c r="J19" s="1"/>
  <c r="I23"/>
  <c r="J23" s="1"/>
  <c r="I16"/>
  <c r="J16" s="1"/>
  <c r="I20"/>
  <c r="J20" s="1"/>
  <c r="I14"/>
  <c r="I17"/>
  <c r="J17" s="1"/>
  <c r="I21"/>
  <c r="J21" s="1"/>
  <c r="I18"/>
  <c r="J18" s="1"/>
  <c r="I22"/>
  <c r="J22" s="1"/>
  <c r="F26"/>
  <c r="J14" l="1"/>
  <c r="I26"/>
  <c r="J26" l="1"/>
  <c r="N8" l="1"/>
  <c r="Q25"/>
  <c r="L17" l="1"/>
  <c r="C22" i="3" s="1"/>
  <c r="L21" i="1"/>
  <c r="C26" i="3" s="1"/>
  <c r="L18" i="1"/>
  <c r="C23" i="3" s="1"/>
  <c r="L22" i="1"/>
  <c r="C27" i="3" s="1"/>
  <c r="L19" i="1"/>
  <c r="C24" i="3" s="1"/>
  <c r="L23" i="1"/>
  <c r="C28" i="3" s="1"/>
  <c r="L16" i="1"/>
  <c r="C21" i="3" s="1"/>
  <c r="L20" i="1"/>
  <c r="C25" i="3" s="1"/>
  <c r="L15" i="1"/>
  <c r="C20" i="3" s="1"/>
  <c r="L14" i="1"/>
  <c r="V16"/>
  <c r="V21"/>
  <c r="V18"/>
  <c r="R25"/>
  <c r="T25" s="1"/>
  <c r="V25"/>
  <c r="V24"/>
  <c r="R24"/>
  <c r="T24" s="1"/>
  <c r="R25" i="3" l="1"/>
  <c r="R27"/>
  <c r="R20"/>
  <c r="R24"/>
  <c r="R22"/>
  <c r="M14" i="1"/>
  <c r="C19" i="3"/>
  <c r="J28"/>
  <c r="P28" s="1"/>
  <c r="S28" s="1"/>
  <c r="R28"/>
  <c r="R26"/>
  <c r="R21"/>
  <c r="R23"/>
  <c r="N14" i="1"/>
  <c r="Q14"/>
  <c r="R14" s="1"/>
  <c r="S14" s="1"/>
  <c r="N15"/>
  <c r="M15"/>
  <c r="N19"/>
  <c r="M19"/>
  <c r="M17"/>
  <c r="N17"/>
  <c r="N20"/>
  <c r="M20"/>
  <c r="N22"/>
  <c r="M22"/>
  <c r="Q22"/>
  <c r="V22" s="1"/>
  <c r="W22" s="1"/>
  <c r="N16"/>
  <c r="M16"/>
  <c r="N18"/>
  <c r="M18"/>
  <c r="Q20"/>
  <c r="R20" s="1"/>
  <c r="T20" s="1"/>
  <c r="Q23"/>
  <c r="R23" s="1"/>
  <c r="T23" s="1"/>
  <c r="N23"/>
  <c r="M23"/>
  <c r="M21"/>
  <c r="N21"/>
  <c r="Q17"/>
  <c r="L26"/>
  <c r="Q19"/>
  <c r="R19" s="1"/>
  <c r="T19" s="1"/>
  <c r="Q15"/>
  <c r="V15" s="1"/>
  <c r="X15" s="1"/>
  <c r="R16"/>
  <c r="S16" s="1"/>
  <c r="R18"/>
  <c r="S18" s="1"/>
  <c r="R21"/>
  <c r="T21" s="1"/>
  <c r="X18"/>
  <c r="W18"/>
  <c r="W21"/>
  <c r="X21"/>
  <c r="X25"/>
  <c r="W25"/>
  <c r="X24"/>
  <c r="W24"/>
  <c r="X16"/>
  <c r="W16"/>
  <c r="J21" i="3" l="1"/>
  <c r="T21" s="1"/>
  <c r="I22"/>
  <c r="J20"/>
  <c r="K20" s="1"/>
  <c r="M20" s="1"/>
  <c r="I21"/>
  <c r="J25"/>
  <c r="T25" s="1"/>
  <c r="I26"/>
  <c r="J23"/>
  <c r="T23" s="1"/>
  <c r="I24"/>
  <c r="J26"/>
  <c r="K26" s="1"/>
  <c r="N26" s="1"/>
  <c r="I27"/>
  <c r="J24"/>
  <c r="P24" s="1"/>
  <c r="S24" s="1"/>
  <c r="I25"/>
  <c r="J27"/>
  <c r="P27" s="1"/>
  <c r="S27" s="1"/>
  <c r="I28"/>
  <c r="J22"/>
  <c r="K22" s="1"/>
  <c r="M22" s="1"/>
  <c r="I23"/>
  <c r="R19"/>
  <c r="R31" s="1"/>
  <c r="C31"/>
  <c r="I20"/>
  <c r="T28"/>
  <c r="K28"/>
  <c r="N28" s="1"/>
  <c r="V20" i="1"/>
  <c r="X20" s="1"/>
  <c r="V14"/>
  <c r="X14" s="1"/>
  <c r="N26"/>
  <c r="X22"/>
  <c r="M26"/>
  <c r="R22"/>
  <c r="T22" s="1"/>
  <c r="T26" s="1"/>
  <c r="R15"/>
  <c r="S15" s="1"/>
  <c r="V19"/>
  <c r="X19" s="1"/>
  <c r="W15"/>
  <c r="V23"/>
  <c r="X23" s="1"/>
  <c r="R17"/>
  <c r="S17" s="1"/>
  <c r="V17"/>
  <c r="Q26"/>
  <c r="P23" i="3" l="1"/>
  <c r="S23" s="1"/>
  <c r="T20"/>
  <c r="P22"/>
  <c r="S22" s="1"/>
  <c r="T27"/>
  <c r="K21"/>
  <c r="M21" s="1"/>
  <c r="P26"/>
  <c r="S26" s="1"/>
  <c r="K27"/>
  <c r="N27" s="1"/>
  <c r="K23"/>
  <c r="M23" s="1"/>
  <c r="P20"/>
  <c r="S20" s="1"/>
  <c r="P25"/>
  <c r="S25" s="1"/>
  <c r="P21"/>
  <c r="S21" s="1"/>
  <c r="K25"/>
  <c r="N25" s="1"/>
  <c r="T26"/>
  <c r="T24"/>
  <c r="T22"/>
  <c r="K24"/>
  <c r="N24" s="1"/>
  <c r="H19"/>
  <c r="G31"/>
  <c r="W20" i="1"/>
  <c r="W14"/>
  <c r="S26"/>
  <c r="W19"/>
  <c r="W23"/>
  <c r="V26"/>
  <c r="R26"/>
  <c r="X17"/>
  <c r="X26" s="1"/>
  <c r="W17"/>
  <c r="N31" i="3" l="1"/>
  <c r="H31"/>
  <c r="W26" i="1"/>
  <c r="E26"/>
  <c r="K19" i="3" l="1"/>
  <c r="J31"/>
  <c r="T19"/>
  <c r="T31" s="1"/>
  <c r="R34" s="1"/>
  <c r="P19"/>
  <c r="P31" l="1"/>
  <c r="S19"/>
  <c r="S31" s="1"/>
  <c r="M19"/>
  <c r="M31" s="1"/>
  <c r="K31"/>
</calcChain>
</file>

<file path=xl/comments1.xml><?xml version="1.0" encoding="utf-8"?>
<comments xmlns="http://schemas.openxmlformats.org/spreadsheetml/2006/main">
  <authors>
    <author>D. Martín Sandoval López</author>
  </authors>
  <commentList>
    <comment ref="I2" authorId="0">
      <text>
        <r>
          <rPr>
            <sz val="9"/>
            <color indexed="81"/>
            <rFont val="Tahoma"/>
            <family val="2"/>
          </rPr>
          <t>En base a datos empíricos, referencias  bilbiográficas o mediciones a campo.</t>
        </r>
      </text>
    </comment>
    <comment ref="I3" authorId="0">
      <text>
        <r>
          <rPr>
            <sz val="9"/>
            <color indexed="81"/>
            <rFont val="Tahoma"/>
            <family val="2"/>
          </rPr>
          <t>Clase de diámetro máxima de la distribución deseada en cm</t>
        </r>
      </text>
    </comment>
    <comment ref="I4" authorId="0">
      <text>
        <r>
          <rPr>
            <sz val="9"/>
            <color indexed="81"/>
            <rFont val="Tahoma"/>
            <family val="2"/>
          </rPr>
          <t>Amplitud de las clases diamétricas (cm). Por ejemplo: 12,5 - 7,5 = 5</t>
        </r>
      </text>
    </comment>
    <comment ref="I5" authorId="0">
      <text>
        <r>
          <rPr>
            <sz val="9"/>
            <color indexed="81"/>
            <rFont val="Tahoma"/>
            <family val="2"/>
          </rPr>
          <t>Área basal (AB) deseada para el rodal objetivo</t>
        </r>
      </text>
    </comment>
  </commentList>
</comments>
</file>

<file path=xl/comments2.xml><?xml version="1.0" encoding="utf-8"?>
<comments xmlns="http://schemas.openxmlformats.org/spreadsheetml/2006/main">
  <authors>
    <author>Marcelo</author>
  </authors>
  <commentList>
    <comment ref="C6" authorId="0">
      <text>
        <r>
          <rPr>
            <b/>
            <sz val="8"/>
            <color indexed="81"/>
            <rFont val="Tahoma"/>
            <family val="2"/>
          </rPr>
          <t>Coeficiente de disminución
Link con la hoja anterior</t>
        </r>
      </text>
    </comment>
    <comment ref="C7" authorId="0">
      <text>
        <r>
          <rPr>
            <b/>
            <sz val="8"/>
            <color indexed="81"/>
            <rFont val="Tahoma"/>
            <family val="2"/>
          </rPr>
          <t>Ciclo de Corta 
DATO</t>
        </r>
      </text>
    </comment>
    <comment ref="H18" authorId="0">
      <text>
        <r>
          <rPr>
            <b/>
            <sz val="8"/>
            <color indexed="81"/>
            <rFont val="Tahoma"/>
            <family val="2"/>
          </rPr>
          <t>Número de individuos que pasan de clase por año.
Es la diferencia de la columna anterior dividido el TP</t>
        </r>
      </text>
    </comment>
    <comment ref="I19" authorId="0">
      <text>
        <r>
          <rPr>
            <b/>
            <sz val="8"/>
            <color indexed="81"/>
            <rFont val="Tahoma"/>
            <family val="2"/>
          </rPr>
          <t>Calcular la diferencia entre el Nº de individuos de una clase menos el Nº de la clase siguiente</t>
        </r>
      </text>
    </comment>
  </commentList>
</comments>
</file>

<file path=xl/sharedStrings.xml><?xml version="1.0" encoding="utf-8"?>
<sst xmlns="http://schemas.openxmlformats.org/spreadsheetml/2006/main" count="86" uniqueCount="67">
  <si>
    <t>N (ind/ha)</t>
  </si>
  <si>
    <t>Altura media (m)</t>
  </si>
  <si>
    <r>
      <t>Área basal (m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/ha)</t>
    </r>
  </si>
  <si>
    <t>a:</t>
  </si>
  <si>
    <t>b:</t>
  </si>
  <si>
    <r>
      <t>Volumen total (m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>/ha)</t>
    </r>
  </si>
  <si>
    <t>q:</t>
  </si>
  <si>
    <t>TOTALES</t>
  </si>
  <si>
    <t>Parámetros del rodal objetivo</t>
  </si>
  <si>
    <r>
      <t>Chipeado (m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>/ha)</t>
    </r>
  </si>
  <si>
    <r>
      <t>Aserrado (m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>/ha)</t>
    </r>
  </si>
  <si>
    <t>Parámetros de la corta</t>
  </si>
  <si>
    <t>Parámetros de la ecuación de volumen total</t>
  </si>
  <si>
    <t>Datos conocidos</t>
  </si>
  <si>
    <t>Clase de DAP (cm)</t>
  </si>
  <si>
    <t>Clase diám. máx. (cm):</t>
  </si>
  <si>
    <t>h (cm):</t>
  </si>
  <si>
    <r>
      <t>AB objetivo (m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/ha):</t>
    </r>
  </si>
  <si>
    <t>Parámetros de la serie mínima (ver abajo)</t>
  </si>
  <si>
    <t>Planificación silvícola de rodales disetáneos:</t>
  </si>
  <si>
    <t>determinación de la estructura de la serie mínima (I)</t>
  </si>
  <si>
    <t>c:</t>
  </si>
  <si>
    <t>Donde :</t>
  </si>
  <si>
    <r>
      <t>Volumen total (m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/ha) = </t>
    </r>
  </si>
  <si>
    <r>
      <rPr>
        <i/>
        <sz val="8"/>
        <color theme="1"/>
        <rFont val="Calibri"/>
        <family val="2"/>
        <scheme val="minor"/>
      </rPr>
      <t>DAP</t>
    </r>
    <r>
      <rPr>
        <sz val="8"/>
        <color theme="1"/>
        <rFont val="Calibri"/>
        <family val="2"/>
        <scheme val="minor"/>
      </rPr>
      <t xml:space="preserve">: clase de diámetro a la altura del pecho (cm);  </t>
    </r>
    <r>
      <rPr>
        <i/>
        <sz val="8"/>
        <color theme="1"/>
        <rFont val="Calibri"/>
        <family val="2"/>
        <scheme val="minor"/>
      </rPr>
      <t>h</t>
    </r>
    <r>
      <rPr>
        <sz val="8"/>
        <color theme="1"/>
        <rFont val="Calibri"/>
        <family val="2"/>
        <scheme val="minor"/>
      </rPr>
      <t xml:space="preserve">: altura media (m); </t>
    </r>
    <r>
      <rPr>
        <i/>
        <sz val="8"/>
        <color theme="1"/>
        <rFont val="Calibri"/>
        <family val="2"/>
        <scheme val="minor"/>
      </rPr>
      <t>N</t>
    </r>
    <r>
      <rPr>
        <sz val="8"/>
        <color theme="1"/>
        <rFont val="Calibri"/>
        <family val="2"/>
        <scheme val="minor"/>
      </rPr>
      <t xml:space="preserve">: número de individuos (ind/ha); </t>
    </r>
    <r>
      <rPr>
        <i/>
        <sz val="8"/>
        <color theme="1"/>
        <rFont val="Calibri"/>
        <family val="2"/>
        <scheme val="minor"/>
      </rPr>
      <t>a,b, c</t>
    </r>
    <r>
      <rPr>
        <sz val="8"/>
        <color theme="1"/>
        <rFont val="Calibri"/>
        <family val="2"/>
        <scheme val="minor"/>
      </rPr>
      <t>: parámetros</t>
    </r>
  </si>
  <si>
    <t>Diámetro mínimo para aserrado (cm):</t>
  </si>
  <si>
    <t>1. Estructura actual</t>
  </si>
  <si>
    <t>2. Estructura de la serie mínima</t>
  </si>
  <si>
    <t>3. Estructura del rodal objetivo</t>
  </si>
  <si>
    <t>4. Corta</t>
  </si>
  <si>
    <t>5. Estructura del rodal remanente</t>
  </si>
  <si>
    <r>
      <t>Factor conversión (m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/m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):</t>
    </r>
  </si>
  <si>
    <t>Calculo de la Serie mínima</t>
  </si>
  <si>
    <t>Determinación del RO</t>
  </si>
  <si>
    <t>Determinación de la corta</t>
  </si>
  <si>
    <t>q</t>
  </si>
  <si>
    <t>Variación de q:</t>
  </si>
  <si>
    <t>Estructura actual</t>
  </si>
  <si>
    <t>Proyección</t>
  </si>
  <si>
    <t>Corta</t>
  </si>
  <si>
    <t>Aserrable</t>
  </si>
  <si>
    <t>Dap (cm)</t>
  </si>
  <si>
    <t>TP (años)</t>
  </si>
  <si>
    <t>Ni-N(i+1)</t>
  </si>
  <si>
    <t>ind/año</t>
  </si>
  <si>
    <t>Vol (m3/ha)</t>
  </si>
  <si>
    <t>Totales</t>
  </si>
  <si>
    <t>Cual es el crecimiento medio de este rodal?</t>
  </si>
  <si>
    <t>Cual es el crecimiento periódico?</t>
  </si>
  <si>
    <t>Cual es el crecimiento periódico anual?</t>
  </si>
  <si>
    <t>Cómo puedo aumentar el rendimiento en madera para aserrado de este rordal?</t>
  </si>
  <si>
    <t>Control del AB (m2/ha)</t>
  </si>
  <si>
    <t>Actual</t>
  </si>
  <si>
    <t>Remanente</t>
  </si>
  <si>
    <t>AB removida en el corte (%)</t>
  </si>
  <si>
    <t>CD (cm/año)</t>
  </si>
  <si>
    <t>Intervención en un rodal disetáneo según el Tiempo de Paso y Ciclo de Corta</t>
  </si>
  <si>
    <t>Producto (m3/ha)</t>
  </si>
  <si>
    <t>postes</t>
  </si>
  <si>
    <t>aserrado</t>
  </si>
  <si>
    <t>Rodal remanente</t>
  </si>
  <si>
    <t>(ind/ha)</t>
  </si>
  <si>
    <t>Alt media (m)</t>
  </si>
  <si>
    <t>Ciclo de Cortas  (años)</t>
  </si>
  <si>
    <t xml:space="preserve">1. Cómo varía la densidad del rodal objetivo con un aumento del q de 1,5 a 1,7 y por qué?  </t>
  </si>
  <si>
    <t>2.  Cómo varía el volumen del rodal objetivo con un aumento del q de 1,5 a 1,7 y por qué?</t>
  </si>
  <si>
    <t>3. Qué ocurre con la densidad del rodal objetivo si aumento el AB de manejo a 30 m2/ha, por qué?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</si>
</sst>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7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3"/>
        <bgColor indexed="9"/>
      </patternFill>
    </fill>
    <fill>
      <patternFill patternType="solid">
        <fgColor indexed="41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0" fillId="0" borderId="0" xfId="0" quotePrefix="1"/>
    <xf numFmtId="1" fontId="1" fillId="0" borderId="0" xfId="0" applyNumberFormat="1" applyFont="1" applyAlignment="1">
      <alignment horizontal="center" vertical="center"/>
    </xf>
    <xf numFmtId="2" fontId="5" fillId="0" borderId="2" xfId="0" applyNumberFormat="1" applyFont="1" applyBorder="1" applyAlignment="1">
      <alignment vertical="center"/>
    </xf>
    <xf numFmtId="2" fontId="5" fillId="0" borderId="2" xfId="0" applyNumberFormat="1" applyFont="1" applyBorder="1" applyAlignment="1">
      <alignment horizontal="right" vertical="center"/>
    </xf>
    <xf numFmtId="1" fontId="5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12" borderId="5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164" fontId="1" fillId="4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" fontId="1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12" borderId="0" xfId="0" applyFont="1" applyFill="1" applyAlignment="1">
      <alignment horizontal="center" vertical="center"/>
    </xf>
    <xf numFmtId="164" fontId="2" fillId="12" borderId="0" xfId="0" applyNumberFormat="1" applyFont="1" applyFill="1" applyAlignment="1">
      <alignment horizontal="center" vertical="center"/>
    </xf>
    <xf numFmtId="1" fontId="2" fillId="12" borderId="0" xfId="0" applyNumberFormat="1" applyFont="1" applyFill="1" applyAlignment="1">
      <alignment horizontal="center" vertical="center"/>
    </xf>
    <xf numFmtId="2" fontId="2" fillId="9" borderId="0" xfId="0" applyNumberFormat="1" applyFont="1" applyFill="1" applyAlignment="1">
      <alignment vertical="center"/>
    </xf>
    <xf numFmtId="1" fontId="2" fillId="13" borderId="0" xfId="0" applyNumberFormat="1" applyFont="1" applyFill="1" applyAlignment="1">
      <alignment horizontal="center" vertical="center"/>
    </xf>
    <xf numFmtId="2" fontId="2" fillId="13" borderId="0" xfId="0" applyNumberFormat="1" applyFont="1" applyFill="1" applyAlignment="1">
      <alignment vertical="center"/>
    </xf>
    <xf numFmtId="0" fontId="9" fillId="0" borderId="0" xfId="0" applyFont="1"/>
    <xf numFmtId="164" fontId="2" fillId="14" borderId="0" xfId="0" applyNumberFormat="1" applyFont="1" applyFill="1" applyAlignment="1">
      <alignment vertical="center"/>
    </xf>
    <xf numFmtId="2" fontId="2" fillId="6" borderId="3" xfId="0" applyNumberFormat="1" applyFont="1" applyFill="1" applyBorder="1" applyAlignment="1">
      <alignment horizontal="right" vertical="center" wrapText="1"/>
    </xf>
    <xf numFmtId="1" fontId="2" fillId="7" borderId="3" xfId="0" applyNumberFormat="1" applyFont="1" applyFill="1" applyBorder="1" applyAlignment="1">
      <alignment horizontal="center" vertical="center" wrapText="1"/>
    </xf>
    <xf numFmtId="2" fontId="2" fillId="7" borderId="3" xfId="0" applyNumberFormat="1" applyFont="1" applyFill="1" applyBorder="1" applyAlignment="1">
      <alignment horizontal="right" vertical="center" wrapText="1"/>
    </xf>
    <xf numFmtId="1" fontId="2" fillId="9" borderId="0" xfId="0" applyNumberFormat="1" applyFont="1" applyFill="1" applyAlignment="1">
      <alignment horizontal="center" vertical="center"/>
    </xf>
    <xf numFmtId="1" fontId="2" fillId="10" borderId="0" xfId="0" applyNumberFormat="1" applyFont="1" applyFill="1" applyAlignment="1">
      <alignment vertical="center"/>
    </xf>
    <xf numFmtId="2" fontId="2" fillId="14" borderId="0" xfId="0" applyNumberFormat="1" applyFont="1" applyFill="1" applyAlignment="1">
      <alignment vertical="center"/>
    </xf>
    <xf numFmtId="2" fontId="0" fillId="0" borderId="0" xfId="0" applyNumberForma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4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horizontal="right" vertical="center"/>
    </xf>
    <xf numFmtId="0" fontId="4" fillId="8" borderId="0" xfId="0" applyFont="1" applyFill="1" applyAlignment="1">
      <alignment horizontal="center" vertical="center" wrapText="1"/>
    </xf>
    <xf numFmtId="0" fontId="4" fillId="11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vertical="top"/>
    </xf>
    <xf numFmtId="0" fontId="10" fillId="0" borderId="0" xfId="0" applyFont="1" applyFill="1" applyBorder="1" applyAlignment="1">
      <alignment vertical="top"/>
    </xf>
    <xf numFmtId="0" fontId="11" fillId="15" borderId="10" xfId="0" applyFont="1" applyFill="1" applyBorder="1" applyAlignment="1">
      <alignment horizontal="center"/>
    </xf>
    <xf numFmtId="0" fontId="11" fillId="15" borderId="11" xfId="0" applyFont="1" applyFill="1" applyBorder="1" applyAlignment="1">
      <alignment horizontal="center"/>
    </xf>
    <xf numFmtId="0" fontId="10" fillId="0" borderId="0" xfId="0" applyFont="1" applyAlignment="1"/>
    <xf numFmtId="0" fontId="11" fillId="0" borderId="0" xfId="0" applyFont="1" applyAlignmen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1" fillId="18" borderId="13" xfId="0" applyFont="1" applyFill="1" applyBorder="1" applyAlignment="1">
      <alignment horizontal="center"/>
    </xf>
    <xf numFmtId="1" fontId="11" fillId="18" borderId="13" xfId="0" applyNumberFormat="1" applyFont="1" applyFill="1" applyBorder="1" applyAlignment="1">
      <alignment horizontal="center"/>
    </xf>
    <xf numFmtId="2" fontId="0" fillId="0" borderId="0" xfId="0" applyNumberFormat="1" applyAlignment="1"/>
    <xf numFmtId="1" fontId="0" fillId="0" borderId="0" xfId="0" applyNumberFormat="1" applyAlignment="1"/>
    <xf numFmtId="0" fontId="11" fillId="15" borderId="14" xfId="0" applyFon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17" borderId="15" xfId="0" applyFill="1" applyBorder="1" applyAlignment="1"/>
    <xf numFmtId="0" fontId="0" fillId="17" borderId="16" xfId="0" applyFill="1" applyBorder="1" applyAlignment="1"/>
    <xf numFmtId="0" fontId="0" fillId="17" borderId="17" xfId="0" applyFill="1" applyBorder="1" applyAlignment="1"/>
    <xf numFmtId="2" fontId="11" fillId="0" borderId="8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2" fontId="11" fillId="0" borderId="9" xfId="0" applyNumberFormat="1" applyFont="1" applyBorder="1" applyAlignment="1">
      <alignment horizontal="center"/>
    </xf>
    <xf numFmtId="0" fontId="13" fillId="15" borderId="10" xfId="0" applyFont="1" applyFill="1" applyBorder="1" applyAlignment="1">
      <alignment horizontal="center"/>
    </xf>
    <xf numFmtId="0" fontId="13" fillId="15" borderId="14" xfId="0" applyFont="1" applyFill="1" applyBorder="1" applyAlignment="1">
      <alignment horizontal="center"/>
    </xf>
    <xf numFmtId="0" fontId="13" fillId="15" borderId="11" xfId="0" applyFont="1" applyFill="1" applyBorder="1" applyAlignment="1">
      <alignment horizontal="center"/>
    </xf>
    <xf numFmtId="0" fontId="14" fillId="0" borderId="0" xfId="0" applyFont="1" applyFill="1" applyBorder="1" applyAlignment="1">
      <alignment vertical="top"/>
    </xf>
    <xf numFmtId="0" fontId="15" fillId="0" borderId="0" xfId="0" applyFont="1" applyFill="1" applyBorder="1" applyAlignment="1">
      <alignment vertical="top"/>
    </xf>
    <xf numFmtId="0" fontId="9" fillId="11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0" fillId="0" borderId="0" xfId="0" applyFont="1"/>
    <xf numFmtId="0" fontId="9" fillId="2" borderId="0" xfId="0" applyFont="1" applyFill="1" applyAlignment="1">
      <alignment horizontal="center" vertical="center" wrapText="1"/>
    </xf>
    <xf numFmtId="0" fontId="9" fillId="12" borderId="3" xfId="0" applyFont="1" applyFill="1" applyBorder="1" applyAlignment="1">
      <alignment horizontal="center" vertical="center" wrapText="1"/>
    </xf>
    <xf numFmtId="0" fontId="9" fillId="12" borderId="5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horizontal="center"/>
    </xf>
    <xf numFmtId="0" fontId="9" fillId="19" borderId="0" xfId="0" applyFont="1" applyFill="1"/>
    <xf numFmtId="0" fontId="9" fillId="19" borderId="0" xfId="0" applyFont="1" applyFill="1" applyAlignment="1">
      <alignment horizontal="center"/>
    </xf>
    <xf numFmtId="1" fontId="0" fillId="0" borderId="0" xfId="0" applyNumberFormat="1"/>
    <xf numFmtId="0" fontId="9" fillId="0" borderId="1" xfId="0" applyFont="1" applyBorder="1" applyAlignment="1">
      <alignment vertical="center"/>
    </xf>
    <xf numFmtId="0" fontId="0" fillId="0" borderId="1" xfId="0" applyFont="1" applyBorder="1"/>
    <xf numFmtId="0" fontId="9" fillId="0" borderId="0" xfId="0" applyFont="1" applyAlignment="1">
      <alignment horizontal="right" vertical="center"/>
    </xf>
    <xf numFmtId="1" fontId="9" fillId="10" borderId="0" xfId="0" applyNumberFormat="1" applyFont="1" applyFill="1" applyAlignment="1">
      <alignment vertical="center"/>
    </xf>
    <xf numFmtId="0" fontId="9" fillId="16" borderId="12" xfId="0" applyFont="1" applyFill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164" fontId="11" fillId="18" borderId="13" xfId="0" applyNumberFormat="1" applyFont="1" applyFill="1" applyBorder="1" applyAlignment="1">
      <alignment horizontal="center"/>
    </xf>
    <xf numFmtId="0" fontId="9" fillId="6" borderId="0" xfId="0" applyFont="1" applyFill="1" applyBorder="1" applyAlignment="1">
      <alignment horizontal="center" vertical="center" wrapText="1"/>
    </xf>
    <xf numFmtId="1" fontId="9" fillId="6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/>
    <xf numFmtId="0" fontId="16" fillId="0" borderId="0" xfId="0" applyFont="1"/>
    <xf numFmtId="1" fontId="4" fillId="2" borderId="2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1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Distribución de clases diamétricas</a:t>
            </a:r>
          </a:p>
        </c:rich>
      </c:tx>
      <c:layout/>
      <c:spPr>
        <a:noFill/>
        <a:ln>
          <a:noFill/>
        </a:ln>
        <a:effectLst/>
      </c:spPr>
    </c:title>
    <c:plotArea>
      <c:layout/>
      <c:lineChart>
        <c:grouping val="standard"/>
        <c:ser>
          <c:idx val="0"/>
          <c:order val="0"/>
          <c:tx>
            <c:strRef>
              <c:f>Cálculos!$B$12</c:f>
              <c:strCache>
                <c:ptCount val="1"/>
                <c:pt idx="0">
                  <c:v>1. Estructura actual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dLbls>
            <c:delete val="1"/>
          </c:dLbls>
          <c:cat>
            <c:numRef>
              <c:f>Cálculos!$B$14:$B$25</c:f>
              <c:numCache>
                <c:formatCode>General</c:formatCode>
                <c:ptCount val="12"/>
                <c:pt idx="0">
                  <c:v>7.5</c:v>
                </c:pt>
                <c:pt idx="1">
                  <c:v>12.5</c:v>
                </c:pt>
                <c:pt idx="2">
                  <c:v>17.5</c:v>
                </c:pt>
                <c:pt idx="3">
                  <c:v>22.5</c:v>
                </c:pt>
                <c:pt idx="4">
                  <c:v>27.5</c:v>
                </c:pt>
                <c:pt idx="5">
                  <c:v>32.5</c:v>
                </c:pt>
                <c:pt idx="6">
                  <c:v>37.5</c:v>
                </c:pt>
                <c:pt idx="7">
                  <c:v>42.5</c:v>
                </c:pt>
                <c:pt idx="8">
                  <c:v>47.5</c:v>
                </c:pt>
                <c:pt idx="9">
                  <c:v>52.5</c:v>
                </c:pt>
                <c:pt idx="10">
                  <c:v>57.5</c:v>
                </c:pt>
                <c:pt idx="11">
                  <c:v>62.5</c:v>
                </c:pt>
              </c:numCache>
            </c:numRef>
          </c:cat>
          <c:val>
            <c:numRef>
              <c:f>Cálculos!$D$14:$D$25</c:f>
              <c:numCache>
                <c:formatCode>0</c:formatCode>
                <c:ptCount val="12"/>
                <c:pt idx="0">
                  <c:v>630</c:v>
                </c:pt>
                <c:pt idx="1">
                  <c:v>385</c:v>
                </c:pt>
                <c:pt idx="2">
                  <c:v>124</c:v>
                </c:pt>
                <c:pt idx="3">
                  <c:v>138</c:v>
                </c:pt>
                <c:pt idx="4">
                  <c:v>53</c:v>
                </c:pt>
                <c:pt idx="5">
                  <c:v>80</c:v>
                </c:pt>
                <c:pt idx="6">
                  <c:v>29</c:v>
                </c:pt>
                <c:pt idx="7">
                  <c:v>7</c:v>
                </c:pt>
                <c:pt idx="8">
                  <c:v>16</c:v>
                </c:pt>
                <c:pt idx="9">
                  <c:v>26</c:v>
                </c:pt>
                <c:pt idx="10">
                  <c:v>23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37-436D-889A-CAF80850F955}"/>
            </c:ext>
          </c:extLst>
        </c:ser>
        <c:ser>
          <c:idx val="1"/>
          <c:order val="1"/>
          <c:tx>
            <c:strRef>
              <c:f>Cálculos!$L$12</c:f>
              <c:strCache>
                <c:ptCount val="1"/>
                <c:pt idx="0">
                  <c:v>3. Estructura del rodal objetivo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elete val="1"/>
          </c:dLbls>
          <c:val>
            <c:numRef>
              <c:f>Cálculos!$L$14:$L$25</c:f>
              <c:numCache>
                <c:formatCode>0</c:formatCode>
                <c:ptCount val="12"/>
                <c:pt idx="0">
                  <c:v>283.21670921806526</c:v>
                </c:pt>
                <c:pt idx="1">
                  <c:v>188.81113947871023</c:v>
                </c:pt>
                <c:pt idx="2">
                  <c:v>125.8740929858068</c:v>
                </c:pt>
                <c:pt idx="3">
                  <c:v>83.91606199053787</c:v>
                </c:pt>
                <c:pt idx="4">
                  <c:v>55.944041327025246</c:v>
                </c:pt>
                <c:pt idx="5">
                  <c:v>37.296027551350171</c:v>
                </c:pt>
                <c:pt idx="6">
                  <c:v>24.864018367566775</c:v>
                </c:pt>
                <c:pt idx="7">
                  <c:v>16.57601224504452</c:v>
                </c:pt>
                <c:pt idx="8">
                  <c:v>11.050674830029678</c:v>
                </c:pt>
                <c:pt idx="9">
                  <c:v>7.3671165533531173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137-436D-889A-CAF80850F955}"/>
            </c:ext>
          </c:extLst>
        </c:ser>
        <c:dLbls>
          <c:showVal val="1"/>
        </c:dLbls>
        <c:marker val="1"/>
        <c:axId val="101322112"/>
        <c:axId val="114023808"/>
      </c:lineChart>
      <c:catAx>
        <c:axId val="101322112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Cálculos!$B$13</c:f>
              <c:strCache>
                <c:ptCount val="1"/>
                <c:pt idx="0">
                  <c:v>Clase de DAP (cm)</c:v>
                </c:pt>
              </c:strCache>
            </c:strRef>
          </c:tx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in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4023808"/>
        <c:crosses val="autoZero"/>
        <c:auto val="1"/>
        <c:lblAlgn val="ctr"/>
        <c:lblOffset val="100"/>
      </c:catAx>
      <c:valAx>
        <c:axId val="11402380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strRef>
              <c:f>Cálculos!$D$13</c:f>
              <c:strCache>
                <c:ptCount val="1"/>
                <c:pt idx="0">
                  <c:v>N (ind/ha)</c:v>
                </c:pt>
              </c:strCache>
            </c:strRef>
          </c:tx>
          <c:layout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32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/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1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Distribución de clases diamétricas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Cálculos!$B$12</c:f>
              <c:strCache>
                <c:ptCount val="1"/>
                <c:pt idx="0">
                  <c:v>1. Estructura actual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dLbls>
            <c:delete val="1"/>
          </c:dLbls>
          <c:cat>
            <c:numRef>
              <c:f>Cálculos!$B$14:$B$25</c:f>
              <c:numCache>
                <c:formatCode>General</c:formatCode>
                <c:ptCount val="12"/>
                <c:pt idx="0">
                  <c:v>7.5</c:v>
                </c:pt>
                <c:pt idx="1">
                  <c:v>12.5</c:v>
                </c:pt>
                <c:pt idx="2">
                  <c:v>17.5</c:v>
                </c:pt>
                <c:pt idx="3">
                  <c:v>22.5</c:v>
                </c:pt>
                <c:pt idx="4">
                  <c:v>27.5</c:v>
                </c:pt>
                <c:pt idx="5">
                  <c:v>32.5</c:v>
                </c:pt>
                <c:pt idx="6">
                  <c:v>37.5</c:v>
                </c:pt>
                <c:pt idx="7">
                  <c:v>42.5</c:v>
                </c:pt>
                <c:pt idx="8">
                  <c:v>47.5</c:v>
                </c:pt>
                <c:pt idx="9">
                  <c:v>52.5</c:v>
                </c:pt>
                <c:pt idx="10">
                  <c:v>57.5</c:v>
                </c:pt>
                <c:pt idx="11">
                  <c:v>62.5</c:v>
                </c:pt>
              </c:numCache>
            </c:numRef>
          </c:cat>
          <c:val>
            <c:numRef>
              <c:f>Cálculos!$D$14:$D$25</c:f>
              <c:numCache>
                <c:formatCode>0</c:formatCode>
                <c:ptCount val="12"/>
                <c:pt idx="0">
                  <c:v>630</c:v>
                </c:pt>
                <c:pt idx="1">
                  <c:v>385</c:v>
                </c:pt>
                <c:pt idx="2">
                  <c:v>124</c:v>
                </c:pt>
                <c:pt idx="3">
                  <c:v>138</c:v>
                </c:pt>
                <c:pt idx="4">
                  <c:v>53</c:v>
                </c:pt>
                <c:pt idx="5">
                  <c:v>80</c:v>
                </c:pt>
                <c:pt idx="6">
                  <c:v>29</c:v>
                </c:pt>
                <c:pt idx="7">
                  <c:v>7</c:v>
                </c:pt>
                <c:pt idx="8">
                  <c:v>16</c:v>
                </c:pt>
                <c:pt idx="9">
                  <c:v>26</c:v>
                </c:pt>
                <c:pt idx="10">
                  <c:v>23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A98-40D6-8C11-FE413B3983D6}"/>
            </c:ext>
          </c:extLst>
        </c:ser>
        <c:ser>
          <c:idx val="2"/>
          <c:order val="1"/>
          <c:tx>
            <c:strRef>
              <c:f>Cálculos!$Q$12</c:f>
              <c:strCache>
                <c:ptCount val="1"/>
                <c:pt idx="0">
                  <c:v>4. Corta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dLbls>
            <c:delete val="1"/>
          </c:dLbls>
          <c:val>
            <c:numRef>
              <c:f>Cálculos!$Q$14:$Q$25</c:f>
              <c:numCache>
                <c:formatCode>0</c:formatCode>
                <c:ptCount val="12"/>
                <c:pt idx="0">
                  <c:v>346.78329078193474</c:v>
                </c:pt>
                <c:pt idx="1">
                  <c:v>196.18886052128977</c:v>
                </c:pt>
                <c:pt idx="2">
                  <c:v>0</c:v>
                </c:pt>
                <c:pt idx="3">
                  <c:v>54.08393800946213</c:v>
                </c:pt>
                <c:pt idx="4">
                  <c:v>0</c:v>
                </c:pt>
                <c:pt idx="5">
                  <c:v>42.703972448649829</c:v>
                </c:pt>
                <c:pt idx="6">
                  <c:v>4.135981632433225</c:v>
                </c:pt>
                <c:pt idx="7">
                  <c:v>0</c:v>
                </c:pt>
                <c:pt idx="8">
                  <c:v>4.9493251699703222</c:v>
                </c:pt>
                <c:pt idx="9">
                  <c:v>18.632883446646883</c:v>
                </c:pt>
                <c:pt idx="10">
                  <c:v>23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A98-40D6-8C11-FE413B3983D6}"/>
            </c:ext>
          </c:extLst>
        </c:ser>
        <c:ser>
          <c:idx val="1"/>
          <c:order val="2"/>
          <c:tx>
            <c:strRef>
              <c:f>Cálculos!$V$12</c:f>
              <c:strCache>
                <c:ptCount val="1"/>
                <c:pt idx="0">
                  <c:v>5. Estructura del rodal remanente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dLbls>
            <c:delete val="1"/>
          </c:dLbls>
          <c:val>
            <c:numRef>
              <c:f>Cálculos!$V$14:$V$25</c:f>
              <c:numCache>
                <c:formatCode>0</c:formatCode>
                <c:ptCount val="12"/>
                <c:pt idx="0">
                  <c:v>283.21670921806526</c:v>
                </c:pt>
                <c:pt idx="1">
                  <c:v>188.81113947871023</c:v>
                </c:pt>
                <c:pt idx="2">
                  <c:v>124</c:v>
                </c:pt>
                <c:pt idx="3">
                  <c:v>83.91606199053787</c:v>
                </c:pt>
                <c:pt idx="4">
                  <c:v>53</c:v>
                </c:pt>
                <c:pt idx="5">
                  <c:v>37.296027551350171</c:v>
                </c:pt>
                <c:pt idx="6">
                  <c:v>24.864018367566775</c:v>
                </c:pt>
                <c:pt idx="7">
                  <c:v>7</c:v>
                </c:pt>
                <c:pt idx="8">
                  <c:v>11.050674830029678</c:v>
                </c:pt>
                <c:pt idx="9">
                  <c:v>7.3671165533531173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A98-40D6-8C11-FE413B3983D6}"/>
            </c:ext>
          </c:extLst>
        </c:ser>
        <c:dLbls>
          <c:showVal val="1"/>
        </c:dLbls>
        <c:overlap val="-10"/>
        <c:axId val="101444992"/>
        <c:axId val="102446592"/>
      </c:barChart>
      <c:catAx>
        <c:axId val="101444992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Cálculos!$B$13</c:f>
              <c:strCache>
                <c:ptCount val="1"/>
                <c:pt idx="0">
                  <c:v>Clase de DAP (cm)</c:v>
                </c:pt>
              </c:strCache>
            </c:strRef>
          </c:tx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in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2446592"/>
        <c:crosses val="autoZero"/>
        <c:auto val="1"/>
        <c:lblAlgn val="ctr"/>
        <c:lblOffset val="100"/>
      </c:catAx>
      <c:valAx>
        <c:axId val="10244659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strRef>
              <c:f>Cálculos!$D$13</c:f>
              <c:strCache>
                <c:ptCount val="1"/>
                <c:pt idx="0">
                  <c:v>N (ind/ha)</c:v>
                </c:pt>
              </c:strCache>
            </c:strRef>
          </c:tx>
          <c:layout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444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/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1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Distribución de clases diamétricas</a:t>
            </a:r>
          </a:p>
        </c:rich>
      </c:tx>
      <c:layout/>
      <c:spPr>
        <a:noFill/>
        <a:ln>
          <a:noFill/>
        </a:ln>
        <a:effectLst/>
      </c:spPr>
    </c:title>
    <c:plotArea>
      <c:layout/>
      <c:lineChart>
        <c:grouping val="standard"/>
        <c:ser>
          <c:idx val="0"/>
          <c:order val="0"/>
          <c:tx>
            <c:strRef>
              <c:f>Cálculos!$B$12</c:f>
              <c:strCache>
                <c:ptCount val="1"/>
                <c:pt idx="0">
                  <c:v>1. Estructura actual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dLbls>
            <c:delete val="1"/>
          </c:dLbls>
          <c:cat>
            <c:numRef>
              <c:f>Cálculos!$B$14:$B$25</c:f>
              <c:numCache>
                <c:formatCode>General</c:formatCode>
                <c:ptCount val="12"/>
                <c:pt idx="0">
                  <c:v>7.5</c:v>
                </c:pt>
                <c:pt idx="1">
                  <c:v>12.5</c:v>
                </c:pt>
                <c:pt idx="2">
                  <c:v>17.5</c:v>
                </c:pt>
                <c:pt idx="3">
                  <c:v>22.5</c:v>
                </c:pt>
                <c:pt idx="4">
                  <c:v>27.5</c:v>
                </c:pt>
                <c:pt idx="5">
                  <c:v>32.5</c:v>
                </c:pt>
                <c:pt idx="6">
                  <c:v>37.5</c:v>
                </c:pt>
                <c:pt idx="7">
                  <c:v>42.5</c:v>
                </c:pt>
                <c:pt idx="8">
                  <c:v>47.5</c:v>
                </c:pt>
                <c:pt idx="9">
                  <c:v>52.5</c:v>
                </c:pt>
                <c:pt idx="10">
                  <c:v>57.5</c:v>
                </c:pt>
                <c:pt idx="11">
                  <c:v>62.5</c:v>
                </c:pt>
              </c:numCache>
            </c:numRef>
          </c:cat>
          <c:val>
            <c:numRef>
              <c:f>Cálculos!$D$14:$D$25</c:f>
              <c:numCache>
                <c:formatCode>0</c:formatCode>
                <c:ptCount val="12"/>
                <c:pt idx="0">
                  <c:v>630</c:v>
                </c:pt>
                <c:pt idx="1">
                  <c:v>385</c:v>
                </c:pt>
                <c:pt idx="2">
                  <c:v>124</c:v>
                </c:pt>
                <c:pt idx="3">
                  <c:v>138</c:v>
                </c:pt>
                <c:pt idx="4">
                  <c:v>53</c:v>
                </c:pt>
                <c:pt idx="5">
                  <c:v>80</c:v>
                </c:pt>
                <c:pt idx="6">
                  <c:v>29</c:v>
                </c:pt>
                <c:pt idx="7">
                  <c:v>7</c:v>
                </c:pt>
                <c:pt idx="8">
                  <c:v>16</c:v>
                </c:pt>
                <c:pt idx="9">
                  <c:v>26</c:v>
                </c:pt>
                <c:pt idx="10">
                  <c:v>23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04F-40E1-B0A2-C93BFA0CDCB0}"/>
            </c:ext>
          </c:extLst>
        </c:ser>
        <c:dLbls>
          <c:showVal val="1"/>
        </c:dLbls>
        <c:marker val="1"/>
        <c:axId val="102479360"/>
        <c:axId val="102481920"/>
      </c:lineChart>
      <c:catAx>
        <c:axId val="102479360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Cálculos!$B$13</c:f>
              <c:strCache>
                <c:ptCount val="1"/>
                <c:pt idx="0">
                  <c:v>Clase de DAP (cm)</c:v>
                </c:pt>
              </c:strCache>
            </c:strRef>
          </c:tx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in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2481920"/>
        <c:crosses val="autoZero"/>
        <c:auto val="1"/>
        <c:lblAlgn val="ctr"/>
        <c:lblOffset val="100"/>
      </c:catAx>
      <c:valAx>
        <c:axId val="10248192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strRef>
              <c:f>Cálculos!$D$13</c:f>
              <c:strCache>
                <c:ptCount val="1"/>
                <c:pt idx="0">
                  <c:v>N (ind/ha)</c:v>
                </c:pt>
              </c:strCache>
            </c:strRef>
          </c:tx>
          <c:layout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24793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/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scatterChart>
        <c:scatterStyle val="smoothMarker"/>
        <c:ser>
          <c:idx val="0"/>
          <c:order val="0"/>
          <c:tx>
            <c:v>RO</c:v>
          </c:tx>
          <c:marker>
            <c:symbol val="none"/>
          </c:marker>
          <c:xVal>
            <c:numRef>
              <c:f>Manejo!$A$19:$A$28</c:f>
              <c:numCache>
                <c:formatCode>General</c:formatCode>
                <c:ptCount val="10"/>
                <c:pt idx="0">
                  <c:v>7.5</c:v>
                </c:pt>
                <c:pt idx="1">
                  <c:v>12.5</c:v>
                </c:pt>
                <c:pt idx="2">
                  <c:v>17.5</c:v>
                </c:pt>
                <c:pt idx="3">
                  <c:v>22.5</c:v>
                </c:pt>
                <c:pt idx="4">
                  <c:v>27.5</c:v>
                </c:pt>
                <c:pt idx="5">
                  <c:v>32.5</c:v>
                </c:pt>
                <c:pt idx="6">
                  <c:v>37.5</c:v>
                </c:pt>
                <c:pt idx="7">
                  <c:v>42.5</c:v>
                </c:pt>
                <c:pt idx="8">
                  <c:v>47.5</c:v>
                </c:pt>
                <c:pt idx="9">
                  <c:v>52.5</c:v>
                </c:pt>
              </c:numCache>
            </c:numRef>
          </c:xVal>
          <c:yVal>
            <c:numRef>
              <c:f>Manejo!$C$19:$C$28</c:f>
              <c:numCache>
                <c:formatCode>0</c:formatCode>
                <c:ptCount val="10"/>
                <c:pt idx="0">
                  <c:v>283.21670921806526</c:v>
                </c:pt>
                <c:pt idx="1">
                  <c:v>188.81113947871023</c:v>
                </c:pt>
                <c:pt idx="2">
                  <c:v>125.8740929858068</c:v>
                </c:pt>
                <c:pt idx="3">
                  <c:v>83.91606199053787</c:v>
                </c:pt>
                <c:pt idx="4">
                  <c:v>55.944041327025246</c:v>
                </c:pt>
                <c:pt idx="5">
                  <c:v>37.296027551350171</c:v>
                </c:pt>
                <c:pt idx="6">
                  <c:v>24.864018367566775</c:v>
                </c:pt>
                <c:pt idx="7">
                  <c:v>16.57601224504452</c:v>
                </c:pt>
                <c:pt idx="8">
                  <c:v>11.050674830029678</c:v>
                </c:pt>
                <c:pt idx="9">
                  <c:v>7.3671165533531173</c:v>
                </c:pt>
              </c:numCache>
            </c:numRef>
          </c:yVal>
          <c:smooth val="1"/>
        </c:ser>
        <c:ser>
          <c:idx val="1"/>
          <c:order val="1"/>
          <c:tx>
            <c:v>R Rem</c:v>
          </c:tx>
          <c:marker>
            <c:symbol val="none"/>
          </c:marker>
          <c:xVal>
            <c:numRef>
              <c:f>Manejo!$A$19:$A$28</c:f>
              <c:numCache>
                <c:formatCode>General</c:formatCode>
                <c:ptCount val="10"/>
                <c:pt idx="0">
                  <c:v>7.5</c:v>
                </c:pt>
                <c:pt idx="1">
                  <c:v>12.5</c:v>
                </c:pt>
                <c:pt idx="2">
                  <c:v>17.5</c:v>
                </c:pt>
                <c:pt idx="3">
                  <c:v>22.5</c:v>
                </c:pt>
                <c:pt idx="4">
                  <c:v>27.5</c:v>
                </c:pt>
                <c:pt idx="5">
                  <c:v>32.5</c:v>
                </c:pt>
                <c:pt idx="6">
                  <c:v>37.5</c:v>
                </c:pt>
                <c:pt idx="7">
                  <c:v>42.5</c:v>
                </c:pt>
                <c:pt idx="8">
                  <c:v>47.5</c:v>
                </c:pt>
                <c:pt idx="9">
                  <c:v>52.5</c:v>
                </c:pt>
              </c:numCache>
            </c:numRef>
          </c:xVal>
          <c:yVal>
            <c:numRef>
              <c:f>Manejo!$P$19:$P$28</c:f>
              <c:numCache>
                <c:formatCode>0</c:formatCode>
                <c:ptCount val="10"/>
                <c:pt idx="0">
                  <c:v>188.81113947871023</c:v>
                </c:pt>
                <c:pt idx="1">
                  <c:v>188.81113947871023</c:v>
                </c:pt>
                <c:pt idx="2">
                  <c:v>125.8740929858068</c:v>
                </c:pt>
                <c:pt idx="3">
                  <c:v>83.91606199053787</c:v>
                </c:pt>
                <c:pt idx="4">
                  <c:v>55.944041327025246</c:v>
                </c:pt>
                <c:pt idx="5">
                  <c:v>37.296027551350171</c:v>
                </c:pt>
                <c:pt idx="6">
                  <c:v>24.864018367566775</c:v>
                </c:pt>
                <c:pt idx="7">
                  <c:v>16.57601224504452</c:v>
                </c:pt>
                <c:pt idx="8">
                  <c:v>11.050674830029678</c:v>
                </c:pt>
                <c:pt idx="9">
                  <c:v>7.3671165533531173</c:v>
                </c:pt>
              </c:numCache>
            </c:numRef>
          </c:yVal>
          <c:smooth val="1"/>
        </c:ser>
        <c:axId val="99279616"/>
        <c:axId val="86371328"/>
      </c:scatterChart>
      <c:valAx>
        <c:axId val="99279616"/>
        <c:scaling>
          <c:orientation val="minMax"/>
          <c:max val="55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Clase diamétrica (cm)</a:t>
                </a:r>
              </a:p>
            </c:rich>
          </c:tx>
          <c:layout/>
        </c:title>
        <c:numFmt formatCode="General" sourceLinked="1"/>
        <c:tickLblPos val="nextTo"/>
        <c:crossAx val="86371328"/>
        <c:crosses val="autoZero"/>
        <c:crossBetween val="midCat"/>
        <c:majorUnit val="5"/>
      </c:valAx>
      <c:valAx>
        <c:axId val="8637132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Densidad (ind/ha)</a:t>
                </a:r>
              </a:p>
            </c:rich>
          </c:tx>
          <c:layout/>
        </c:title>
        <c:numFmt formatCode="0" sourceLinked="1"/>
        <c:tickLblPos val="nextTo"/>
        <c:crossAx val="9927961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stacked"/>
        <c:ser>
          <c:idx val="0"/>
          <c:order val="0"/>
          <c:tx>
            <c:v>RO</c:v>
          </c:tx>
          <c:cat>
            <c:numRef>
              <c:f>Manejo!$A$19:$A$28</c:f>
              <c:numCache>
                <c:formatCode>General</c:formatCode>
                <c:ptCount val="10"/>
                <c:pt idx="0">
                  <c:v>7.5</c:v>
                </c:pt>
                <c:pt idx="1">
                  <c:v>12.5</c:v>
                </c:pt>
                <c:pt idx="2">
                  <c:v>17.5</c:v>
                </c:pt>
                <c:pt idx="3">
                  <c:v>22.5</c:v>
                </c:pt>
                <c:pt idx="4">
                  <c:v>27.5</c:v>
                </c:pt>
                <c:pt idx="5">
                  <c:v>32.5</c:v>
                </c:pt>
                <c:pt idx="6">
                  <c:v>37.5</c:v>
                </c:pt>
                <c:pt idx="7">
                  <c:v>42.5</c:v>
                </c:pt>
                <c:pt idx="8">
                  <c:v>47.5</c:v>
                </c:pt>
                <c:pt idx="9">
                  <c:v>52.5</c:v>
                </c:pt>
              </c:numCache>
            </c:numRef>
          </c:cat>
          <c:val>
            <c:numRef>
              <c:f>Manejo!$C$19:$C$28</c:f>
              <c:numCache>
                <c:formatCode>0</c:formatCode>
                <c:ptCount val="10"/>
                <c:pt idx="0">
                  <c:v>283.21670921806526</c:v>
                </c:pt>
                <c:pt idx="1">
                  <c:v>188.81113947871023</c:v>
                </c:pt>
                <c:pt idx="2">
                  <c:v>125.8740929858068</c:v>
                </c:pt>
                <c:pt idx="3">
                  <c:v>83.91606199053787</c:v>
                </c:pt>
                <c:pt idx="4">
                  <c:v>55.944041327025246</c:v>
                </c:pt>
                <c:pt idx="5">
                  <c:v>37.296027551350171</c:v>
                </c:pt>
                <c:pt idx="6">
                  <c:v>24.864018367566775</c:v>
                </c:pt>
                <c:pt idx="7">
                  <c:v>16.57601224504452</c:v>
                </c:pt>
                <c:pt idx="8">
                  <c:v>11.050674830029678</c:v>
                </c:pt>
                <c:pt idx="9">
                  <c:v>7.3671165533531173</c:v>
                </c:pt>
              </c:numCache>
            </c:numRef>
          </c:val>
        </c:ser>
        <c:ser>
          <c:idx val="1"/>
          <c:order val="1"/>
          <c:tx>
            <c:v>Corta (ind/ha)</c:v>
          </c:tx>
          <c:cat>
            <c:numRef>
              <c:f>Manejo!$A$19:$A$28</c:f>
              <c:numCache>
                <c:formatCode>General</c:formatCode>
                <c:ptCount val="10"/>
                <c:pt idx="0">
                  <c:v>7.5</c:v>
                </c:pt>
                <c:pt idx="1">
                  <c:v>12.5</c:v>
                </c:pt>
                <c:pt idx="2">
                  <c:v>17.5</c:v>
                </c:pt>
                <c:pt idx="3">
                  <c:v>22.5</c:v>
                </c:pt>
                <c:pt idx="4">
                  <c:v>27.5</c:v>
                </c:pt>
                <c:pt idx="5">
                  <c:v>32.5</c:v>
                </c:pt>
                <c:pt idx="6">
                  <c:v>37.5</c:v>
                </c:pt>
                <c:pt idx="7">
                  <c:v>42.5</c:v>
                </c:pt>
                <c:pt idx="8">
                  <c:v>47.5</c:v>
                </c:pt>
                <c:pt idx="9">
                  <c:v>52.5</c:v>
                </c:pt>
              </c:numCache>
            </c:numRef>
          </c:cat>
          <c:val>
            <c:numRef>
              <c:f>Manejo!$I$19:$I$28</c:f>
              <c:numCache>
                <c:formatCode>0</c:formatCode>
                <c:ptCount val="10"/>
                <c:pt idx="0" formatCode="General">
                  <c:v>0</c:v>
                </c:pt>
                <c:pt idx="1">
                  <c:v>94.40556973935503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overlap val="100"/>
        <c:axId val="72488064"/>
        <c:axId val="72489600"/>
      </c:barChart>
      <c:catAx>
        <c:axId val="724880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Clase diamétrica</a:t>
                </a:r>
              </a:p>
            </c:rich>
          </c:tx>
          <c:layout/>
        </c:title>
        <c:numFmt formatCode="General" sourceLinked="1"/>
        <c:tickLblPos val="nextTo"/>
        <c:crossAx val="72489600"/>
        <c:crosses val="autoZero"/>
        <c:auto val="1"/>
        <c:lblAlgn val="ctr"/>
        <c:lblOffset val="100"/>
      </c:catAx>
      <c:valAx>
        <c:axId val="7248960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Densidad (ind/ha)</a:t>
                </a:r>
              </a:p>
            </c:rich>
          </c:tx>
          <c:layout/>
        </c:title>
        <c:numFmt formatCode="0" sourceLinked="1"/>
        <c:tickLblPos val="nextTo"/>
        <c:crossAx val="72488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709864391950999"/>
          <c:y val="8.2949475065616798E-2"/>
          <c:w val="0.17901021865937644"/>
          <c:h val="0.16743438320209975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304800</xdr:colOff>
      <xdr:row>31</xdr:row>
      <xdr:rowOff>35461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xmlns="" id="{00000000-0008-0000-00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1734800" cy="594096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27</xdr:row>
      <xdr:rowOff>0</xdr:rowOff>
    </xdr:from>
    <xdr:to>
      <xdr:col>14</xdr:col>
      <xdr:colOff>0</xdr:colOff>
      <xdr:row>43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233081</xdr:colOff>
      <xdr:row>28</xdr:row>
      <xdr:rowOff>0</xdr:rowOff>
    </xdr:from>
    <xdr:to>
      <xdr:col>23</xdr:col>
      <xdr:colOff>761999</xdr:colOff>
      <xdr:row>43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6</xdr:col>
      <xdr:colOff>0</xdr:colOff>
      <xdr:row>43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2</xdr:col>
      <xdr:colOff>0</xdr:colOff>
      <xdr:row>7</xdr:row>
      <xdr:rowOff>0</xdr:rowOff>
    </xdr:from>
    <xdr:ext cx="2286000" cy="228600"/>
    <mc:AlternateContent xmlns:mc="http://schemas.openxmlformats.org/markup-compatibility/2006">
      <mc:Choice xmlns:a14="http://schemas.microsoft.com/office/drawing/2010/main" xmlns=""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1284514" y="1600200"/>
              <a:ext cx="2286000" cy="228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p>
                      <m:sSupPr>
                        <m:ctrlP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𝑒</m:t>
                        </m:r>
                      </m:e>
                      <m:sup>
                        <m: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(</m:t>
                        </m:r>
                        <m: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𝑎</m:t>
                        </m:r>
                        <m: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+</m:t>
                        </m:r>
                        <m: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𝑏</m:t>
                        </m:r>
                        <m: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∗</m:t>
                        </m:r>
                        <m:func>
                          <m:funcPr>
                            <m:ctrlPr>
                              <a:rPr lang="es-AR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uncPr>
                          <m:fName>
                            <m:r>
                              <m:rPr>
                                <m:sty m:val="p"/>
                              </m:rPr>
                              <a:rPr lang="es-AR" sz="1100" b="0" i="0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ln</m:t>
                            </m:r>
                          </m:fName>
                          <m:e>
                            <m:d>
                              <m:dPr>
                                <m:ctrlPr>
                                  <a:rPr lang="es-AR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s-AR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𝐷𝐴𝑃</m:t>
                                </m:r>
                              </m:e>
                            </m:d>
                          </m:e>
                        </m:func>
                        <m: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+</m:t>
                        </m:r>
                        <m: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𝑐</m:t>
                        </m:r>
                        <m: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∗</m:t>
                        </m:r>
                        <m:func>
                          <m:funcPr>
                            <m:ctrlPr>
                              <a:rPr lang="es-AR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uncPr>
                          <m:fName>
                            <m:r>
                              <m:rPr>
                                <m:sty m:val="p"/>
                              </m:rPr>
                              <a:rPr lang="es-AR" sz="1100" b="0" i="0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ln</m:t>
                            </m:r>
                          </m:fName>
                          <m:e>
                            <m:d>
                              <m:dPr>
                                <m:ctrlPr>
                                  <a:rPr lang="es-AR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s-AR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h</m:t>
                                </m:r>
                              </m:e>
                            </m:d>
                          </m:e>
                        </m:func>
                        <m: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∗</m:t>
                        </m:r>
                        <m:r>
                          <a:rPr lang="es-A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𝑁</m:t>
                        </m:r>
                      </m:sup>
                    </m:sSup>
                  </m:oMath>
                </m:oMathPara>
              </a14:m>
              <a:endParaRPr lang="es-AR" sz="1100"/>
            </a:p>
          </xdr:txBody>
        </xdr:sp>
      </mc:Choice>
      <mc:Fallback>
        <xdr:sp macro="" textlink="">
          <xdr:nvSpPr>
            <xdr:cNvPr id="6" name="CuadroTexto 5">
              <a:extLst>
                <a:ext uri="{FF2B5EF4-FFF2-40B4-BE49-F238E27FC236}">
                  <a16:creationId xmlns:a14="http://schemas.microsoft.com/office/drawing/2010/main" xmlns="" xmlns:a16="http://schemas.microsoft.com/office/drawing/2014/main" id="{D432941A-E9DE-432B-91C7-8726FE23D339}"/>
                </a:ext>
              </a:extLst>
            </xdr:cNvPr>
            <xdr:cNvSpPr txBox="1"/>
          </xdr:nvSpPr>
          <xdr:spPr>
            <a:xfrm>
              <a:off x="1284514" y="1600200"/>
              <a:ext cx="2286000" cy="228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s-A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𝑒^((𝑎+𝑏∗ln⁡(𝐷𝐴𝑃)+𝑐∗ln⁡(ℎ)∗𝑁)</a:t>
              </a:r>
              <a:endParaRPr lang="es-AR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76199</xdr:colOff>
      <xdr:row>0</xdr:row>
      <xdr:rowOff>28576</xdr:rowOff>
    </xdr:from>
    <xdr:to>
      <xdr:col>21</xdr:col>
      <xdr:colOff>533400</xdr:colOff>
      <xdr:row>12</xdr:row>
      <xdr:rowOff>123826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685800</xdr:colOff>
      <xdr:row>36</xdr:row>
      <xdr:rowOff>171450</xdr:rowOff>
    </xdr:from>
    <xdr:to>
      <xdr:col>13</xdr:col>
      <xdr:colOff>66675</xdr:colOff>
      <xdr:row>51</xdr:row>
      <xdr:rowOff>57150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3.bin"/><Relationship Id="rId5" Type="http://schemas.openxmlformats.org/officeDocument/2006/relationships/oleObject" Target="../embeddings/oleObject2.bin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zoomScale="85" zoomScaleNormal="85" workbookViewId="0">
      <selection activeCell="S25" sqref="S25"/>
    </sheetView>
  </sheetViews>
  <sheetFormatPr baseColWidth="10" defaultRowHeight="15"/>
  <sheetData/>
  <pageMargins left="0.7" right="0.7" top="0.75" bottom="0.75" header="0.3" footer="0.3"/>
  <pageSetup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AA49"/>
  <sheetViews>
    <sheetView topLeftCell="D1" zoomScale="115" zoomScaleNormal="115" zoomScaleSheetLayoutView="130" workbookViewId="0">
      <selection activeCell="L50" sqref="L50"/>
    </sheetView>
  </sheetViews>
  <sheetFormatPr baseColWidth="10" defaultRowHeight="15"/>
  <cols>
    <col min="1" max="1" width="3.28515625" customWidth="1"/>
    <col min="2" max="2" width="15.5703125" customWidth="1"/>
    <col min="3" max="6" width="11.140625" customWidth="1"/>
    <col min="7" max="8" width="3.28515625" customWidth="1"/>
    <col min="9" max="9" width="15.5703125" customWidth="1"/>
    <col min="10" max="10" width="11.140625" customWidth="1"/>
    <col min="11" max="11" width="23" customWidth="1"/>
    <col min="12" max="12" width="15.42578125" customWidth="1"/>
    <col min="13" max="14" width="11.140625" customWidth="1"/>
    <col min="15" max="15" width="19.85546875" customWidth="1"/>
    <col min="16" max="16" width="3.28515625" customWidth="1"/>
    <col min="17" max="17" width="15.7109375" customWidth="1"/>
    <col min="18" max="20" width="11.140625" customWidth="1"/>
    <col min="21" max="21" width="3.28515625" customWidth="1"/>
    <col min="22" max="24" width="11.140625" customWidth="1"/>
    <col min="25" max="25" width="3.28515625" customWidth="1"/>
  </cols>
  <sheetData>
    <row r="1" spans="2:26" ht="18" customHeight="1">
      <c r="B1" s="37" t="s">
        <v>19</v>
      </c>
      <c r="I1" s="44" t="s">
        <v>32</v>
      </c>
      <c r="L1" s="37" t="s">
        <v>33</v>
      </c>
      <c r="Q1" s="37" t="s">
        <v>34</v>
      </c>
      <c r="V1" s="37"/>
    </row>
    <row r="2" spans="2:26" ht="18" customHeight="1">
      <c r="B2" s="37" t="s">
        <v>20</v>
      </c>
      <c r="I2" s="14" t="s">
        <v>13</v>
      </c>
      <c r="J2" s="15"/>
    </row>
    <row r="3" spans="2:26" ht="18" customHeight="1">
      <c r="I3" s="8" t="s">
        <v>15</v>
      </c>
      <c r="J3" s="45">
        <v>52.5</v>
      </c>
    </row>
    <row r="4" spans="2:26" ht="18" customHeight="1">
      <c r="B4" s="14" t="s">
        <v>12</v>
      </c>
      <c r="C4" s="17"/>
      <c r="I4" s="8" t="s">
        <v>16</v>
      </c>
      <c r="J4" s="45">
        <v>5</v>
      </c>
    </row>
    <row r="5" spans="2:26" ht="18" customHeight="1">
      <c r="B5" s="8" t="s">
        <v>3</v>
      </c>
      <c r="C5" s="6">
        <v>-10.134164</v>
      </c>
      <c r="I5" s="8" t="s">
        <v>17</v>
      </c>
      <c r="J5" s="45">
        <v>25</v>
      </c>
    </row>
    <row r="6" spans="2:26" ht="18" customHeight="1">
      <c r="B6" s="8" t="s">
        <v>4</v>
      </c>
      <c r="C6" s="6">
        <v>2.2187250000000001</v>
      </c>
      <c r="L6" s="9"/>
    </row>
    <row r="7" spans="2:26" ht="18" customHeight="1">
      <c r="B7" s="8" t="s">
        <v>21</v>
      </c>
      <c r="C7" s="6">
        <v>0.78614899999999999</v>
      </c>
      <c r="D7" s="7"/>
      <c r="I7" s="14" t="s">
        <v>18</v>
      </c>
      <c r="J7" s="14"/>
      <c r="L7" s="14" t="s">
        <v>8</v>
      </c>
      <c r="M7" s="16"/>
      <c r="N7" s="16"/>
      <c r="Q7" s="14" t="s">
        <v>11</v>
      </c>
      <c r="R7" s="16"/>
      <c r="S7" s="16"/>
      <c r="T7" s="16"/>
    </row>
    <row r="8" spans="2:26" ht="18" customHeight="1">
      <c r="B8" s="8" t="s">
        <v>23</v>
      </c>
      <c r="I8" s="8" t="s">
        <v>6</v>
      </c>
      <c r="J8" s="45">
        <f>Manejo!K6</f>
        <v>1.5</v>
      </c>
      <c r="M8" s="8" t="s">
        <v>31</v>
      </c>
      <c r="N8" s="51">
        <f>$J$5/$J$26</f>
        <v>7.3671165533531173</v>
      </c>
      <c r="S8" s="8" t="s">
        <v>25</v>
      </c>
      <c r="T8" s="50">
        <v>30</v>
      </c>
    </row>
    <row r="9" spans="2:26" ht="18" customHeight="1">
      <c r="B9" s="54" t="s">
        <v>22</v>
      </c>
      <c r="C9" s="53" t="s">
        <v>24</v>
      </c>
      <c r="D9" s="53"/>
      <c r="E9" s="53"/>
      <c r="F9" s="53"/>
      <c r="I9" s="8" t="s">
        <v>4</v>
      </c>
      <c r="J9" s="3">
        <f>LN(J8)/J4</f>
        <v>8.1093021621632871E-2</v>
      </c>
    </row>
    <row r="10" spans="2:26" ht="18" customHeight="1">
      <c r="B10" s="54"/>
      <c r="C10" s="53"/>
      <c r="D10" s="53"/>
      <c r="E10" s="53"/>
      <c r="F10" s="53"/>
      <c r="I10" s="8" t="s">
        <v>3</v>
      </c>
      <c r="J10" s="3">
        <f>EXP(J9*J3)</f>
        <v>70.624960850392526</v>
      </c>
    </row>
    <row r="11" spans="2:26" ht="18" customHeight="1"/>
    <row r="12" spans="2:26" ht="30" customHeight="1">
      <c r="B12" s="59" t="s">
        <v>26</v>
      </c>
      <c r="C12" s="59"/>
      <c r="D12" s="59"/>
      <c r="E12" s="59"/>
      <c r="F12" s="59"/>
      <c r="I12" s="60" t="s">
        <v>27</v>
      </c>
      <c r="J12" s="60"/>
      <c r="L12" s="55" t="s">
        <v>28</v>
      </c>
      <c r="M12" s="55"/>
      <c r="N12" s="55"/>
      <c r="Q12" s="58" t="s">
        <v>29</v>
      </c>
      <c r="R12" s="58"/>
      <c r="S12" s="58"/>
      <c r="T12" s="58"/>
      <c r="V12" s="56" t="s">
        <v>30</v>
      </c>
      <c r="W12" s="56"/>
      <c r="X12" s="56"/>
    </row>
    <row r="13" spans="2:26" ht="24" customHeight="1" thickBot="1">
      <c r="B13" s="28" t="s">
        <v>14</v>
      </c>
      <c r="C13" s="29" t="s">
        <v>1</v>
      </c>
      <c r="D13" s="29" t="s">
        <v>0</v>
      </c>
      <c r="E13" s="29" t="s">
        <v>2</v>
      </c>
      <c r="F13" s="30" t="s">
        <v>5</v>
      </c>
      <c r="I13" s="18" t="s">
        <v>0</v>
      </c>
      <c r="J13" s="19" t="s">
        <v>2</v>
      </c>
      <c r="L13" s="20" t="s">
        <v>0</v>
      </c>
      <c r="M13" s="21" t="s">
        <v>2</v>
      </c>
      <c r="N13" s="22" t="s">
        <v>5</v>
      </c>
      <c r="Q13" s="23" t="s">
        <v>0</v>
      </c>
      <c r="R13" s="24" t="s">
        <v>5</v>
      </c>
      <c r="S13" s="24" t="s">
        <v>9</v>
      </c>
      <c r="T13" s="24" t="s">
        <v>10</v>
      </c>
      <c r="V13" s="25" t="s">
        <v>0</v>
      </c>
      <c r="W13" s="26" t="s">
        <v>2</v>
      </c>
      <c r="X13" s="27" t="s">
        <v>5</v>
      </c>
    </row>
    <row r="14" spans="2:26" ht="16.149999999999999" customHeight="1">
      <c r="B14" s="31">
        <v>7.5</v>
      </c>
      <c r="C14" s="32">
        <v>8.5</v>
      </c>
      <c r="D14" s="10">
        <v>630</v>
      </c>
      <c r="E14" s="4">
        <f>(PI()/4*(B14/100)^2)*D14</f>
        <v>2.7832547415397073</v>
      </c>
      <c r="F14" s="4">
        <f>EXP($C$5+$C$6*LN(B14)+$C$7*LN(C14))*D14</f>
        <v>11.757394925662322</v>
      </c>
      <c r="G14" s="1"/>
      <c r="H14" s="1"/>
      <c r="I14" s="10">
        <f>$J$10*EXP(-$J$9*B14)</f>
        <v>38.443359375</v>
      </c>
      <c r="J14" s="4">
        <f t="shared" ref="J14:J23" si="0">(PI()/4*(B14/100)^2)*I14</f>
        <v>0.16983755914473606</v>
      </c>
      <c r="K14" s="1"/>
      <c r="L14" s="10">
        <f t="shared" ref="L14:L23" si="1">I14*$N$8</f>
        <v>283.21670921806526</v>
      </c>
      <c r="M14" s="4">
        <f t="shared" ref="M14:M23" si="2">(PI()/4*(B14/100)^2)*L14</f>
        <v>1.2512130933562742</v>
      </c>
      <c r="N14" s="4">
        <f t="shared" ref="N14:N23" si="3">EXP($C$5+$C$6*LN(B14)+$C$7*LN(C14))*L14</f>
        <v>5.2855407933702567</v>
      </c>
      <c r="O14" s="1"/>
      <c r="P14" s="1"/>
      <c r="Q14" s="10">
        <f>D14-L14</f>
        <v>346.78329078193474</v>
      </c>
      <c r="R14" s="4">
        <f t="shared" ref="R14:R25" si="4">EXP($C$5+$C$6*LN(B14)+$C$7*LN(C14))*Q14</f>
        <v>6.4718541322920649</v>
      </c>
      <c r="S14" s="4">
        <f t="shared" ref="S14:S25" si="5">IF(B14&lt;$T$8,R14,0)</f>
        <v>6.4718541322920649</v>
      </c>
      <c r="T14" s="4">
        <f t="shared" ref="T14:T25" si="6">IF(B14&gt;$T$8,R14,0)</f>
        <v>0</v>
      </c>
      <c r="U14" s="2"/>
      <c r="V14" s="10">
        <f t="shared" ref="V14:V25" si="7">D14-Q14</f>
        <v>283.21670921806526</v>
      </c>
      <c r="W14" s="4">
        <f t="shared" ref="W14:W25" si="8">(PI()/4*(B14/100)^2)*V14</f>
        <v>1.2512130933562742</v>
      </c>
      <c r="X14" s="4">
        <f t="shared" ref="X14:X25" si="9">EXP($C$5+$C$6*LN(B14)+$C$7*LN(C14))*V14</f>
        <v>5.2855407933702567</v>
      </c>
      <c r="Z14" s="52"/>
    </row>
    <row r="15" spans="2:26" ht="16.149999999999999" customHeight="1">
      <c r="B15" s="31">
        <v>12.5</v>
      </c>
      <c r="C15" s="32">
        <v>10.8</v>
      </c>
      <c r="D15" s="10">
        <v>385</v>
      </c>
      <c r="E15" s="4">
        <f t="shared" ref="E15:E25" si="10">(PI()/4*(B15/100)^2)*D15</f>
        <v>4.7246608266877752</v>
      </c>
      <c r="F15" s="4">
        <f t="shared" ref="F15:F25" si="11">EXP($C$5+$C$6*LN(B15)+$C$7*LN(C15))*D15</f>
        <v>26.941138601368507</v>
      </c>
      <c r="G15" s="1"/>
      <c r="H15" s="1"/>
      <c r="I15" s="10">
        <f t="shared" ref="I15:I23" si="12">$J$10*EXP(-$J$9*B15)</f>
        <v>25.628906250000007</v>
      </c>
      <c r="J15" s="4">
        <f t="shared" si="0"/>
        <v>0.31451399841617794</v>
      </c>
      <c r="K15" s="1"/>
      <c r="L15" s="10">
        <f t="shared" si="1"/>
        <v>188.81113947871023</v>
      </c>
      <c r="M15" s="4">
        <f t="shared" si="2"/>
        <v>2.3170612839931009</v>
      </c>
      <c r="N15" s="4">
        <f t="shared" si="3"/>
        <v>13.212433969294164</v>
      </c>
      <c r="O15" s="1"/>
      <c r="P15" s="1"/>
      <c r="Q15" s="10">
        <f t="shared" ref="Q15:Q25" si="13">D15-L15</f>
        <v>196.18886052128977</v>
      </c>
      <c r="R15" s="4">
        <f t="shared" si="4"/>
        <v>13.728704632074342</v>
      </c>
      <c r="S15" s="4">
        <f t="shared" si="5"/>
        <v>13.728704632074342</v>
      </c>
      <c r="T15" s="4">
        <f t="shared" si="6"/>
        <v>0</v>
      </c>
      <c r="U15" s="2"/>
      <c r="V15" s="10">
        <f t="shared" si="7"/>
        <v>188.81113947871023</v>
      </c>
      <c r="W15" s="4">
        <f t="shared" si="8"/>
        <v>2.3170612839931009</v>
      </c>
      <c r="X15" s="4">
        <f t="shared" si="9"/>
        <v>13.212433969294164</v>
      </c>
      <c r="Z15" s="52"/>
    </row>
    <row r="16" spans="2:26" ht="16.149999999999999" customHeight="1">
      <c r="B16" s="31">
        <v>17.5</v>
      </c>
      <c r="C16" s="32">
        <v>12.7</v>
      </c>
      <c r="D16" s="10">
        <v>124</v>
      </c>
      <c r="E16" s="4">
        <f t="shared" si="10"/>
        <v>2.9825495255018093</v>
      </c>
      <c r="F16" s="4">
        <f t="shared" si="11"/>
        <v>20.79332622604603</v>
      </c>
      <c r="G16" s="1"/>
      <c r="H16" s="1"/>
      <c r="I16" s="10">
        <f t="shared" si="12"/>
        <v>17.085937500000004</v>
      </c>
      <c r="J16" s="4">
        <f t="shared" si="0"/>
        <v>0.41096495793047244</v>
      </c>
      <c r="K16" s="1"/>
      <c r="L16" s="10">
        <f t="shared" si="1"/>
        <v>125.8740929858068</v>
      </c>
      <c r="M16" s="4">
        <f t="shared" si="2"/>
        <v>3.0276267444176508</v>
      </c>
      <c r="N16" s="4">
        <f t="shared" si="3"/>
        <v>21.107589345657527</v>
      </c>
      <c r="O16" s="1"/>
      <c r="P16" s="1"/>
      <c r="Q16" s="10">
        <v>0</v>
      </c>
      <c r="R16" s="4">
        <f t="shared" si="4"/>
        <v>0</v>
      </c>
      <c r="S16" s="4">
        <f t="shared" si="5"/>
        <v>0</v>
      </c>
      <c r="T16" s="4">
        <f t="shared" si="6"/>
        <v>0</v>
      </c>
      <c r="U16" s="2"/>
      <c r="V16" s="10">
        <f t="shared" si="7"/>
        <v>124</v>
      </c>
      <c r="W16" s="4">
        <f t="shared" si="8"/>
        <v>2.9825495255018093</v>
      </c>
      <c r="X16" s="4">
        <f t="shared" si="9"/>
        <v>20.79332622604603</v>
      </c>
      <c r="Z16" s="52"/>
    </row>
    <row r="17" spans="2:27" ht="16.149999999999999" customHeight="1">
      <c r="B17" s="31">
        <v>22.5</v>
      </c>
      <c r="C17" s="32">
        <v>14.4</v>
      </c>
      <c r="D17" s="10">
        <v>138</v>
      </c>
      <c r="E17" s="4">
        <f t="shared" si="10"/>
        <v>5.4869879190354238</v>
      </c>
      <c r="F17" s="4">
        <f t="shared" si="11"/>
        <v>44.610208678083616</v>
      </c>
      <c r="G17" s="1"/>
      <c r="H17" s="1"/>
      <c r="I17" s="10">
        <f t="shared" si="12"/>
        <v>11.390625000000002</v>
      </c>
      <c r="J17" s="4">
        <f t="shared" si="0"/>
        <v>0.45290015771929626</v>
      </c>
      <c r="K17" s="1"/>
      <c r="L17" s="10">
        <f t="shared" si="1"/>
        <v>83.91606199053787</v>
      </c>
      <c r="M17" s="4">
        <f t="shared" si="2"/>
        <v>3.3365682489500652</v>
      </c>
      <c r="N17" s="4">
        <f t="shared" si="3"/>
        <v>27.126906064064457</v>
      </c>
      <c r="O17" s="1"/>
      <c r="P17" s="1"/>
      <c r="Q17" s="10">
        <f t="shared" si="13"/>
        <v>54.08393800946213</v>
      </c>
      <c r="R17" s="4">
        <f t="shared" si="4"/>
        <v>17.483302614019156</v>
      </c>
      <c r="S17" s="4">
        <f t="shared" si="5"/>
        <v>17.483302614019156</v>
      </c>
      <c r="T17" s="4">
        <f t="shared" si="6"/>
        <v>0</v>
      </c>
      <c r="U17" s="2"/>
      <c r="V17" s="10">
        <f t="shared" si="7"/>
        <v>83.91606199053787</v>
      </c>
      <c r="W17" s="4">
        <f t="shared" si="8"/>
        <v>3.3365682489500652</v>
      </c>
      <c r="X17" s="4">
        <f t="shared" si="9"/>
        <v>27.126906064064457</v>
      </c>
      <c r="Z17" s="52"/>
    </row>
    <row r="18" spans="2:27" ht="16.149999999999999" customHeight="1">
      <c r="B18" s="31">
        <v>27.5</v>
      </c>
      <c r="C18" s="32">
        <v>15.8</v>
      </c>
      <c r="D18" s="10">
        <v>53</v>
      </c>
      <c r="E18" s="4">
        <f t="shared" si="10"/>
        <v>3.1479740136673979</v>
      </c>
      <c r="F18" s="4">
        <f t="shared" si="11"/>
        <v>28.765429775347204</v>
      </c>
      <c r="G18" s="1"/>
      <c r="H18" s="1"/>
      <c r="I18" s="10">
        <f t="shared" si="12"/>
        <v>7.5937500000000018</v>
      </c>
      <c r="J18" s="4">
        <f t="shared" si="0"/>
        <v>0.45103637106201527</v>
      </c>
      <c r="K18" s="1"/>
      <c r="L18" s="10">
        <f t="shared" si="1"/>
        <v>55.944041327025246</v>
      </c>
      <c r="M18" s="4">
        <f t="shared" si="2"/>
        <v>3.3228375154152916</v>
      </c>
      <c r="N18" s="4">
        <f t="shared" si="3"/>
        <v>30.363290417767296</v>
      </c>
      <c r="O18" s="1"/>
      <c r="P18" s="1"/>
      <c r="Q18" s="10">
        <v>0</v>
      </c>
      <c r="R18" s="4">
        <f t="shared" si="4"/>
        <v>0</v>
      </c>
      <c r="S18" s="4">
        <f t="shared" si="5"/>
        <v>0</v>
      </c>
      <c r="T18" s="4">
        <f t="shared" si="6"/>
        <v>0</v>
      </c>
      <c r="U18" s="2"/>
      <c r="V18" s="10">
        <f t="shared" si="7"/>
        <v>53</v>
      </c>
      <c r="W18" s="4">
        <f t="shared" si="8"/>
        <v>3.1479740136673979</v>
      </c>
      <c r="X18" s="4">
        <f t="shared" si="9"/>
        <v>28.765429775347204</v>
      </c>
      <c r="Z18" s="52"/>
    </row>
    <row r="19" spans="2:27" ht="16.149999999999999" customHeight="1">
      <c r="B19" s="31">
        <v>32.5</v>
      </c>
      <c r="C19" s="32">
        <v>17.2</v>
      </c>
      <c r="D19" s="10">
        <v>80</v>
      </c>
      <c r="E19" s="4">
        <f t="shared" si="10"/>
        <v>6.6366144807084382</v>
      </c>
      <c r="F19" s="4">
        <f t="shared" si="11"/>
        <v>67.24211207687442</v>
      </c>
      <c r="G19" s="1"/>
      <c r="H19" s="1"/>
      <c r="I19" s="10">
        <f t="shared" si="12"/>
        <v>5.0625000000000018</v>
      </c>
      <c r="J19" s="4">
        <f t="shared" si="0"/>
        <v>0.41997326010733099</v>
      </c>
      <c r="K19" s="1"/>
      <c r="L19" s="10">
        <f t="shared" si="1"/>
        <v>37.296027551350171</v>
      </c>
      <c r="M19" s="4">
        <f t="shared" si="2"/>
        <v>3.0939919565023928</v>
      </c>
      <c r="N19" s="4">
        <f t="shared" si="3"/>
        <v>31.348295807876056</v>
      </c>
      <c r="O19" s="1"/>
      <c r="P19" s="1"/>
      <c r="Q19" s="10">
        <f t="shared" si="13"/>
        <v>42.703972448649829</v>
      </c>
      <c r="R19" s="4">
        <f t="shared" si="4"/>
        <v>35.893816268998364</v>
      </c>
      <c r="S19" s="4">
        <f t="shared" si="5"/>
        <v>0</v>
      </c>
      <c r="T19" s="4">
        <f t="shared" si="6"/>
        <v>35.893816268998364</v>
      </c>
      <c r="U19" s="2"/>
      <c r="V19" s="10">
        <f t="shared" si="7"/>
        <v>37.296027551350171</v>
      </c>
      <c r="W19" s="4">
        <f t="shared" si="8"/>
        <v>3.0939919565023928</v>
      </c>
      <c r="X19" s="4">
        <f t="shared" si="9"/>
        <v>31.348295807876056</v>
      </c>
      <c r="Z19" s="52"/>
    </row>
    <row r="20" spans="2:27" ht="16.149999999999999" customHeight="1">
      <c r="B20" s="31">
        <v>37.5</v>
      </c>
      <c r="C20" s="32">
        <v>18.399999999999999</v>
      </c>
      <c r="D20" s="10">
        <v>29</v>
      </c>
      <c r="E20" s="4">
        <f t="shared" si="10"/>
        <v>3.2029518851052186</v>
      </c>
      <c r="F20" s="4">
        <f t="shared" si="11"/>
        <v>35.307281912592515</v>
      </c>
      <c r="G20" s="1"/>
      <c r="H20" s="1"/>
      <c r="I20" s="10">
        <f t="shared" si="12"/>
        <v>3.3750000000000004</v>
      </c>
      <c r="J20" s="4">
        <f t="shared" si="0"/>
        <v>0.37275733145621087</v>
      </c>
      <c r="K20" s="1"/>
      <c r="L20" s="10">
        <f t="shared" si="1"/>
        <v>24.864018367566775</v>
      </c>
      <c r="M20" s="4">
        <f t="shared" si="2"/>
        <v>2.7461467069547858</v>
      </c>
      <c r="N20" s="4">
        <f t="shared" si="3"/>
        <v>30.271755378743393</v>
      </c>
      <c r="O20" s="1"/>
      <c r="P20" s="1"/>
      <c r="Q20" s="10">
        <f t="shared" si="13"/>
        <v>4.135981632433225</v>
      </c>
      <c r="R20" s="4">
        <f t="shared" si="4"/>
        <v>5.0355265338491195</v>
      </c>
      <c r="S20" s="4">
        <f t="shared" si="5"/>
        <v>0</v>
      </c>
      <c r="T20" s="4">
        <f t="shared" si="6"/>
        <v>5.0355265338491195</v>
      </c>
      <c r="U20" s="2"/>
      <c r="V20" s="10">
        <f t="shared" si="7"/>
        <v>24.864018367566775</v>
      </c>
      <c r="W20" s="4">
        <f t="shared" si="8"/>
        <v>2.7461467069547858</v>
      </c>
      <c r="X20" s="4">
        <f t="shared" si="9"/>
        <v>30.271755378743393</v>
      </c>
      <c r="Z20" s="52"/>
    </row>
    <row r="21" spans="2:27" ht="16.149999999999999" customHeight="1">
      <c r="B21" s="31">
        <v>42.5</v>
      </c>
      <c r="C21" s="32">
        <v>19.5</v>
      </c>
      <c r="D21" s="10">
        <v>7</v>
      </c>
      <c r="E21" s="4">
        <f t="shared" si="10"/>
        <v>0.99303780284564847</v>
      </c>
      <c r="F21" s="4">
        <f t="shared" si="11"/>
        <v>11.775874935193599</v>
      </c>
      <c r="G21" s="1"/>
      <c r="H21" s="1"/>
      <c r="I21" s="10">
        <f t="shared" si="12"/>
        <v>2.2500000000000009</v>
      </c>
      <c r="J21" s="4">
        <f t="shared" si="0"/>
        <v>0.3191907223432443</v>
      </c>
      <c r="K21" s="1"/>
      <c r="L21" s="10">
        <f t="shared" si="1"/>
        <v>16.57601224504452</v>
      </c>
      <c r="M21" s="4">
        <f t="shared" si="2"/>
        <v>2.3515152542516535</v>
      </c>
      <c r="N21" s="4">
        <f t="shared" si="3"/>
        <v>27.885292445983136</v>
      </c>
      <c r="O21" s="1"/>
      <c r="P21" s="1"/>
      <c r="Q21" s="10">
        <v>0</v>
      </c>
      <c r="R21" s="4">
        <f t="shared" si="4"/>
        <v>0</v>
      </c>
      <c r="S21" s="4">
        <f t="shared" si="5"/>
        <v>0</v>
      </c>
      <c r="T21" s="4">
        <f t="shared" si="6"/>
        <v>0</v>
      </c>
      <c r="U21" s="2"/>
      <c r="V21" s="10">
        <f t="shared" si="7"/>
        <v>7</v>
      </c>
      <c r="W21" s="4">
        <f t="shared" si="8"/>
        <v>0.99303780284564847</v>
      </c>
      <c r="X21" s="4">
        <f t="shared" si="9"/>
        <v>11.775874935193599</v>
      </c>
      <c r="Z21" s="52"/>
    </row>
    <row r="22" spans="2:27" ht="16.149999999999999" customHeight="1">
      <c r="B22" s="31">
        <v>47.5</v>
      </c>
      <c r="C22" s="32">
        <v>20.6</v>
      </c>
      <c r="D22" s="10">
        <v>16</v>
      </c>
      <c r="E22" s="4">
        <f t="shared" si="10"/>
        <v>2.8352873698647882</v>
      </c>
      <c r="F22" s="4">
        <f t="shared" si="11"/>
        <v>35.968796701558738</v>
      </c>
      <c r="G22" s="1"/>
      <c r="H22" s="1"/>
      <c r="I22" s="10">
        <f t="shared" si="12"/>
        <v>1.5000000000000002</v>
      </c>
      <c r="J22" s="4">
        <f t="shared" si="0"/>
        <v>0.26580819092482394</v>
      </c>
      <c r="K22" s="1"/>
      <c r="L22" s="10">
        <f t="shared" si="1"/>
        <v>11.050674830029678</v>
      </c>
      <c r="M22" s="4">
        <f t="shared" si="2"/>
        <v>1.9582399233791163</v>
      </c>
      <c r="N22" s="4">
        <f t="shared" si="3"/>
        <v>24.842467273523102</v>
      </c>
      <c r="O22" s="1"/>
      <c r="P22" s="1"/>
      <c r="Q22" s="10">
        <f t="shared" si="13"/>
        <v>4.9493251699703222</v>
      </c>
      <c r="R22" s="4">
        <f t="shared" si="4"/>
        <v>11.126329428035636</v>
      </c>
      <c r="S22" s="4">
        <f t="shared" si="5"/>
        <v>0</v>
      </c>
      <c r="T22" s="4">
        <f t="shared" si="6"/>
        <v>11.126329428035636</v>
      </c>
      <c r="U22" s="2"/>
      <c r="V22" s="10">
        <f t="shared" si="7"/>
        <v>11.050674830029678</v>
      </c>
      <c r="W22" s="4">
        <f t="shared" si="8"/>
        <v>1.9582399233791163</v>
      </c>
      <c r="X22" s="4">
        <f t="shared" si="9"/>
        <v>24.842467273523102</v>
      </c>
      <c r="Z22" s="52"/>
    </row>
    <row r="23" spans="2:27" ht="16.149999999999999" customHeight="1" thickBot="1">
      <c r="B23" s="38">
        <v>52.5</v>
      </c>
      <c r="C23" s="39">
        <v>21.6</v>
      </c>
      <c r="D23" s="40">
        <v>26</v>
      </c>
      <c r="E23" s="4">
        <f t="shared" si="10"/>
        <v>5.6283595884469637</v>
      </c>
      <c r="F23" s="4">
        <f t="shared" si="11"/>
        <v>75.753338375887381</v>
      </c>
      <c r="G23" s="1"/>
      <c r="H23" s="1"/>
      <c r="I23" s="18">
        <f t="shared" si="12"/>
        <v>1</v>
      </c>
      <c r="J23" s="46">
        <f t="shared" si="0"/>
        <v>0.21647536878642168</v>
      </c>
      <c r="K23" s="1"/>
      <c r="L23" s="47">
        <f t="shared" si="1"/>
        <v>7.3671165533531173</v>
      </c>
      <c r="M23" s="48">
        <f t="shared" si="2"/>
        <v>1.5947992727796678</v>
      </c>
      <c r="N23" s="48">
        <f t="shared" si="3"/>
        <v>21.464756658490764</v>
      </c>
      <c r="O23" s="1"/>
      <c r="P23" s="1"/>
      <c r="Q23" s="49">
        <f>D23-L23</f>
        <v>18.632883446646883</v>
      </c>
      <c r="R23" s="41">
        <f t="shared" si="4"/>
        <v>54.28858171739661</v>
      </c>
      <c r="S23" s="41">
        <f t="shared" si="5"/>
        <v>0</v>
      </c>
      <c r="T23" s="41">
        <f t="shared" si="6"/>
        <v>54.28858171739661</v>
      </c>
      <c r="U23" s="2"/>
      <c r="V23" s="42">
        <f t="shared" si="7"/>
        <v>7.3671165533531173</v>
      </c>
      <c r="W23" s="43">
        <f t="shared" si="8"/>
        <v>1.5947992727796678</v>
      </c>
      <c r="X23" s="43">
        <f t="shared" si="9"/>
        <v>21.464756658490764</v>
      </c>
      <c r="Z23" s="52"/>
    </row>
    <row r="24" spans="2:27" ht="16.149999999999999" customHeight="1">
      <c r="B24" s="31">
        <v>57.5</v>
      </c>
      <c r="C24" s="32">
        <v>22.6</v>
      </c>
      <c r="D24" s="10">
        <v>23</v>
      </c>
      <c r="E24" s="4">
        <f t="shared" si="10"/>
        <v>5.9724621587854694</v>
      </c>
      <c r="F24" s="4">
        <f t="shared" si="11"/>
        <v>84.97014632690518</v>
      </c>
      <c r="G24" s="1"/>
      <c r="H24" s="1"/>
      <c r="I24" s="5"/>
      <c r="J24" s="4"/>
      <c r="K24" s="1"/>
      <c r="L24" s="10"/>
      <c r="M24" s="4"/>
      <c r="N24" s="4"/>
      <c r="O24" s="1"/>
      <c r="P24" s="1"/>
      <c r="Q24" s="10">
        <f>D24-L24</f>
        <v>23</v>
      </c>
      <c r="R24" s="4">
        <f t="shared" si="4"/>
        <v>84.97014632690518</v>
      </c>
      <c r="S24" s="4">
        <f t="shared" si="5"/>
        <v>0</v>
      </c>
      <c r="T24" s="4">
        <f t="shared" si="6"/>
        <v>84.97014632690518</v>
      </c>
      <c r="U24" s="2"/>
      <c r="V24" s="10">
        <f t="shared" si="7"/>
        <v>0</v>
      </c>
      <c r="W24" s="4">
        <f t="shared" si="8"/>
        <v>0</v>
      </c>
      <c r="X24" s="4">
        <f t="shared" si="9"/>
        <v>0</v>
      </c>
      <c r="Z24" s="52"/>
    </row>
    <row r="25" spans="2:27" ht="16.149999999999999" customHeight="1">
      <c r="B25" s="33">
        <v>62.5</v>
      </c>
      <c r="C25" s="34">
        <v>23.5</v>
      </c>
      <c r="D25" s="36">
        <v>7</v>
      </c>
      <c r="E25" s="4">
        <f t="shared" si="10"/>
        <v>2.1475731030398979</v>
      </c>
      <c r="F25" s="4">
        <f t="shared" si="11"/>
        <v>32.085887500949184</v>
      </c>
      <c r="G25" s="1"/>
      <c r="H25" s="1"/>
      <c r="I25" s="5"/>
      <c r="J25" s="4"/>
      <c r="K25" s="1"/>
      <c r="L25" s="10"/>
      <c r="M25" s="4"/>
      <c r="N25" s="4"/>
      <c r="O25" s="1"/>
      <c r="P25" s="1"/>
      <c r="Q25" s="10">
        <f t="shared" si="13"/>
        <v>7</v>
      </c>
      <c r="R25" s="4">
        <f t="shared" si="4"/>
        <v>32.085887500949184</v>
      </c>
      <c r="S25" s="4">
        <f t="shared" si="5"/>
        <v>0</v>
      </c>
      <c r="T25" s="4">
        <f t="shared" si="6"/>
        <v>32.085887500949184</v>
      </c>
      <c r="U25" s="2"/>
      <c r="V25" s="10">
        <f t="shared" si="7"/>
        <v>0</v>
      </c>
      <c r="W25" s="4">
        <f t="shared" si="8"/>
        <v>0</v>
      </c>
      <c r="X25" s="4">
        <f t="shared" si="9"/>
        <v>0</v>
      </c>
      <c r="Z25" s="52"/>
    </row>
    <row r="26" spans="2:27" ht="24" customHeight="1" thickBot="1">
      <c r="B26" s="57" t="s">
        <v>7</v>
      </c>
      <c r="C26" s="57"/>
      <c r="D26" s="13">
        <f>SUM(D14:D25)</f>
        <v>1518</v>
      </c>
      <c r="E26" s="11">
        <f t="shared" ref="E26:F26" si="14">SUM(E14:E25)</f>
        <v>46.541713415228536</v>
      </c>
      <c r="F26" s="11">
        <f t="shared" si="14"/>
        <v>475.97093603646869</v>
      </c>
      <c r="G26" s="35"/>
      <c r="H26" s="35"/>
      <c r="I26" s="13">
        <f t="shared" ref="I26" si="15">SUM(I14:I25)</f>
        <v>113.330078125</v>
      </c>
      <c r="J26" s="12">
        <f t="shared" ref="J26" si="16">SUM(J14:J25)</f>
        <v>3.3934579178907298</v>
      </c>
      <c r="K26" s="35"/>
      <c r="L26" s="118">
        <f t="shared" ref="L26" si="17">SUM(L14:L25)</f>
        <v>834.91589454748976</v>
      </c>
      <c r="M26" s="119">
        <f t="shared" ref="M26:N26" si="18">SUM(M14:M25)</f>
        <v>25</v>
      </c>
      <c r="N26" s="119">
        <f t="shared" si="18"/>
        <v>232.90832815477017</v>
      </c>
      <c r="O26" s="35"/>
      <c r="P26" s="35"/>
      <c r="Q26" s="13">
        <f t="shared" ref="Q26" si="19">SUM(Q14:Q25)</f>
        <v>697.47825201038688</v>
      </c>
      <c r="R26" s="12">
        <f t="shared" ref="R26:T26" si="20">SUM(R14:R25)</f>
        <v>261.08414915451965</v>
      </c>
      <c r="S26" s="12">
        <f t="shared" si="20"/>
        <v>37.683861378385558</v>
      </c>
      <c r="T26" s="12">
        <f t="shared" si="20"/>
        <v>223.40028777613409</v>
      </c>
      <c r="U26" s="2"/>
      <c r="V26" s="13">
        <f t="shared" ref="V26" si="21">SUM(V14:V25)</f>
        <v>820.52174798961312</v>
      </c>
      <c r="W26" s="12">
        <f t="shared" ref="W26" si="22">SUM(W14:W25)</f>
        <v>23.421581827930257</v>
      </c>
      <c r="X26" s="12">
        <f t="shared" ref="X26" si="23">SUM(X14:X25)</f>
        <v>214.88678688194904</v>
      </c>
      <c r="Z26" s="52"/>
      <c r="AA26" s="52"/>
    </row>
    <row r="47" spans="2:2" ht="15.75">
      <c r="B47" s="117" t="s">
        <v>64</v>
      </c>
    </row>
    <row r="48" spans="2:2" ht="15.75">
      <c r="B48" s="117" t="s">
        <v>65</v>
      </c>
    </row>
    <row r="49" spans="2:2" ht="15.75">
      <c r="B49" s="117" t="s">
        <v>66</v>
      </c>
    </row>
  </sheetData>
  <mergeCells count="8">
    <mergeCell ref="C9:F10"/>
    <mergeCell ref="B9:B10"/>
    <mergeCell ref="L12:N12"/>
    <mergeCell ref="V12:X12"/>
    <mergeCell ref="B26:C26"/>
    <mergeCell ref="Q12:T12"/>
    <mergeCell ref="B12:F12"/>
    <mergeCell ref="I12:J12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97" orientation="portrait" r:id="rId1"/>
  <colBreaks count="2" manualBreakCount="2">
    <brk id="7" max="1048575" man="1"/>
    <brk id="15" max="1048575" man="1"/>
  </colBreaks>
  <drawing r:id="rId2"/>
  <legacyDrawing r:id="rId3"/>
  <oleObjects>
    <oleObject progId="Equation.3" shapeId="1032" r:id="rId4"/>
    <oleObject progId="Equation.3" shapeId="1034" r:id="rId5"/>
    <oleObject progId="Equation.3" shapeId="1036" r:id="rId6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T40"/>
  <sheetViews>
    <sheetView tabSelected="1" zoomScaleNormal="100" workbookViewId="0">
      <selection activeCell="W29" sqref="W29"/>
    </sheetView>
  </sheetViews>
  <sheetFormatPr baseColWidth="10" defaultRowHeight="15"/>
  <cols>
    <col min="9" max="9" width="15.5703125" bestFit="1" customWidth="1"/>
    <col min="12" max="12" width="4.140625" customWidth="1"/>
    <col min="15" max="15" width="3.5703125" customWidth="1"/>
    <col min="16" max="16" width="16" customWidth="1"/>
    <col min="17" max="17" width="4" customWidth="1"/>
  </cols>
  <sheetData>
    <row r="1" spans="1:15" ht="15.75">
      <c r="A1" s="91" t="s">
        <v>56</v>
      </c>
      <c r="B1" s="63"/>
      <c r="D1" s="63"/>
      <c r="E1" s="63"/>
      <c r="F1" s="63"/>
      <c r="G1" s="63"/>
      <c r="H1" s="63"/>
      <c r="I1" s="63"/>
      <c r="J1" s="63"/>
      <c r="K1" s="63"/>
      <c r="L1" s="61"/>
      <c r="M1" s="61"/>
      <c r="N1" s="61"/>
      <c r="O1" s="61"/>
    </row>
    <row r="2" spans="1:15" ht="15.75">
      <c r="A2" s="91"/>
      <c r="B2" s="63"/>
      <c r="D2" s="63"/>
      <c r="E2" s="63"/>
      <c r="F2" s="63"/>
      <c r="G2" s="63"/>
      <c r="H2" s="63"/>
      <c r="I2" s="63"/>
      <c r="J2" s="63"/>
      <c r="K2" s="63"/>
      <c r="L2" s="61"/>
      <c r="M2" s="61"/>
      <c r="N2" s="61"/>
      <c r="O2" s="61"/>
    </row>
    <row r="3" spans="1:15" ht="15.75">
      <c r="A3" s="91"/>
      <c r="B3" s="63"/>
      <c r="D3" s="63"/>
      <c r="E3" s="63"/>
      <c r="F3" s="63"/>
      <c r="G3" s="63"/>
      <c r="H3" s="63"/>
      <c r="I3" s="63"/>
      <c r="J3" s="63"/>
      <c r="K3" s="63"/>
      <c r="L3" s="61"/>
      <c r="M3" s="61"/>
      <c r="N3" s="61"/>
      <c r="O3" s="61"/>
    </row>
    <row r="4" spans="1:15" ht="15.75">
      <c r="A4" s="61"/>
      <c r="B4" s="63"/>
      <c r="C4" s="63"/>
      <c r="D4" s="63"/>
      <c r="E4" s="63"/>
      <c r="F4" s="63"/>
      <c r="G4" s="63"/>
      <c r="H4" s="63"/>
      <c r="I4" s="63"/>
      <c r="J4" s="63"/>
      <c r="K4" s="63"/>
      <c r="L4" s="61"/>
      <c r="M4" s="61"/>
      <c r="N4" s="61"/>
      <c r="O4" s="61"/>
    </row>
    <row r="5" spans="1:15" ht="15.75">
      <c r="A5" s="62"/>
      <c r="B5" s="61"/>
      <c r="C5" s="63"/>
      <c r="D5" s="63"/>
      <c r="E5" s="63"/>
      <c r="F5" s="63"/>
      <c r="G5" s="63"/>
      <c r="H5" s="63"/>
      <c r="I5" s="63"/>
      <c r="J5" s="63"/>
      <c r="K5" s="63"/>
      <c r="L5" s="61"/>
      <c r="M5" s="61"/>
      <c r="N5" s="61"/>
      <c r="O5" s="61"/>
    </row>
    <row r="6" spans="1:15" ht="15.75">
      <c r="A6" s="61"/>
      <c r="B6" s="61"/>
      <c r="C6" s="87" t="s">
        <v>35</v>
      </c>
      <c r="D6" s="88"/>
      <c r="E6" s="88"/>
      <c r="F6" s="89"/>
      <c r="G6" s="110">
        <f>Cálculos!J8</f>
        <v>1.5</v>
      </c>
      <c r="H6" s="61"/>
      <c r="I6" s="63" t="s">
        <v>36</v>
      </c>
      <c r="J6" s="63"/>
      <c r="K6" s="66">
        <v>1.5</v>
      </c>
      <c r="M6" s="61"/>
      <c r="N6" s="61"/>
      <c r="O6" s="61"/>
    </row>
    <row r="7" spans="1:15" ht="15.75">
      <c r="A7" s="61"/>
      <c r="B7" s="61"/>
      <c r="C7" s="64" t="s">
        <v>63</v>
      </c>
      <c r="D7" s="77"/>
      <c r="E7" s="77"/>
      <c r="F7" s="65"/>
      <c r="G7" s="110">
        <v>10</v>
      </c>
      <c r="H7" s="61"/>
      <c r="I7" s="63"/>
      <c r="J7" s="63"/>
      <c r="K7" s="61"/>
      <c r="L7" s="61"/>
      <c r="M7" s="61"/>
      <c r="N7" s="61"/>
      <c r="O7" s="61"/>
    </row>
    <row r="8" spans="1:15" ht="15.75">
      <c r="A8" s="61"/>
      <c r="B8" s="61"/>
      <c r="C8" s="63"/>
      <c r="D8" s="63"/>
      <c r="E8" s="63"/>
      <c r="F8" s="63"/>
      <c r="G8" s="63"/>
      <c r="H8" s="61"/>
      <c r="I8" s="106" t="s">
        <v>11</v>
      </c>
      <c r="J8" s="107"/>
      <c r="K8" s="107"/>
      <c r="L8" s="107"/>
      <c r="M8" s="61"/>
      <c r="N8" s="61"/>
      <c r="O8" s="61"/>
    </row>
    <row r="9" spans="1:15" ht="15.75">
      <c r="A9" s="61"/>
      <c r="B9" s="61"/>
      <c r="C9" s="63"/>
      <c r="D9" s="63"/>
      <c r="E9" s="63"/>
      <c r="F9" s="63"/>
      <c r="G9" s="63"/>
      <c r="H9" s="61"/>
      <c r="I9" s="95"/>
      <c r="J9" s="95"/>
      <c r="K9" s="108" t="s">
        <v>25</v>
      </c>
      <c r="L9" s="109">
        <v>30</v>
      </c>
      <c r="M9" s="61"/>
      <c r="N9" s="61"/>
      <c r="O9" s="61"/>
    </row>
    <row r="10" spans="1:15" ht="15.75">
      <c r="A10" s="61"/>
      <c r="B10" s="61"/>
      <c r="C10" s="63"/>
      <c r="D10" s="63"/>
      <c r="E10" s="63"/>
      <c r="F10" s="63"/>
      <c r="G10" s="63"/>
      <c r="H10" s="61"/>
      <c r="I10" s="95"/>
      <c r="J10" s="95"/>
      <c r="K10" s="108"/>
      <c r="L10" s="61"/>
      <c r="M10" s="61"/>
      <c r="N10" s="61"/>
      <c r="O10" s="61"/>
    </row>
    <row r="11" spans="1:15" ht="15.75">
      <c r="A11" s="61"/>
      <c r="B11" s="61"/>
      <c r="C11" s="63"/>
      <c r="D11" s="63"/>
      <c r="E11" s="63"/>
      <c r="F11" s="63"/>
      <c r="G11" s="63"/>
      <c r="H11" s="61"/>
      <c r="I11" s="95"/>
      <c r="J11" s="95"/>
      <c r="K11" s="108"/>
      <c r="L11" s="61"/>
      <c r="M11" s="61"/>
      <c r="N11" s="61"/>
      <c r="O11" s="61"/>
    </row>
    <row r="12" spans="1:15" ht="15.75">
      <c r="A12" s="61"/>
      <c r="B12" s="61"/>
      <c r="C12" s="63"/>
      <c r="D12" s="63"/>
      <c r="E12" s="63"/>
      <c r="F12" s="63"/>
      <c r="G12" s="63"/>
      <c r="H12" s="61"/>
      <c r="I12" s="95"/>
      <c r="J12" s="95"/>
      <c r="K12" s="108"/>
      <c r="L12" s="61"/>
      <c r="M12" s="61"/>
      <c r="N12" s="61"/>
      <c r="O12" s="61"/>
    </row>
    <row r="13" spans="1:15" ht="15.75">
      <c r="A13" s="61"/>
      <c r="B13" s="61"/>
      <c r="C13" s="63"/>
      <c r="D13" s="63"/>
      <c r="E13" s="63"/>
      <c r="F13" s="63"/>
      <c r="G13" s="63"/>
      <c r="H13" s="61"/>
      <c r="I13" s="63"/>
      <c r="J13" s="63"/>
      <c r="K13" s="61"/>
      <c r="L13" s="61"/>
      <c r="M13" s="61"/>
      <c r="N13" s="61"/>
      <c r="O13" s="61"/>
    </row>
    <row r="14" spans="1:15" ht="15.75">
      <c r="A14" s="61"/>
      <c r="B14" s="61"/>
      <c r="C14" s="63"/>
      <c r="D14" s="63"/>
      <c r="E14" s="63"/>
      <c r="F14" s="63"/>
      <c r="G14" s="63"/>
      <c r="H14" s="61"/>
      <c r="I14" s="63"/>
      <c r="J14" s="63"/>
      <c r="K14" s="61"/>
      <c r="L14" s="61"/>
      <c r="M14" s="61"/>
      <c r="N14" s="61"/>
      <c r="O14" s="61"/>
    </row>
    <row r="15" spans="1:15" ht="15.75">
      <c r="A15" s="61"/>
      <c r="B15" s="61"/>
      <c r="C15" s="63"/>
      <c r="D15" s="63"/>
      <c r="E15" s="63"/>
      <c r="F15" s="63"/>
      <c r="G15" s="63"/>
      <c r="H15" s="61"/>
      <c r="I15" s="63"/>
      <c r="J15" s="63"/>
      <c r="K15" s="61"/>
      <c r="L15" s="61"/>
      <c r="M15" s="61"/>
      <c r="N15" s="61"/>
      <c r="O15" s="61"/>
    </row>
    <row r="16" spans="1:15">
      <c r="A16" s="67"/>
      <c r="B16" s="61"/>
      <c r="C16" s="68"/>
      <c r="D16" s="68"/>
      <c r="E16" s="68"/>
      <c r="F16" s="68"/>
      <c r="G16" s="61"/>
      <c r="H16" s="61"/>
      <c r="I16" s="61"/>
      <c r="J16" s="61"/>
      <c r="K16" s="61"/>
      <c r="L16" s="61"/>
      <c r="M16" s="61"/>
      <c r="N16" s="61"/>
      <c r="O16" s="61"/>
    </row>
    <row r="17" spans="1:20" ht="30" customHeight="1">
      <c r="A17" s="92" t="s">
        <v>37</v>
      </c>
      <c r="B17" s="92"/>
      <c r="C17" s="92"/>
      <c r="D17" s="90"/>
      <c r="E17" s="93"/>
      <c r="F17" s="94" t="s">
        <v>38</v>
      </c>
      <c r="G17" s="94"/>
      <c r="H17" s="93"/>
      <c r="I17" s="95"/>
      <c r="J17" s="94" t="s">
        <v>39</v>
      </c>
      <c r="K17" s="94" t="s">
        <v>39</v>
      </c>
      <c r="L17" s="95"/>
      <c r="M17" s="96" t="s">
        <v>57</v>
      </c>
      <c r="N17" s="96" t="s">
        <v>40</v>
      </c>
      <c r="P17" s="103" t="s">
        <v>60</v>
      </c>
      <c r="R17" s="58" t="s">
        <v>51</v>
      </c>
      <c r="S17" s="58"/>
      <c r="T17" s="58"/>
    </row>
    <row r="18" spans="1:20" ht="33.75" customHeight="1" thickBot="1">
      <c r="A18" s="97" t="s">
        <v>41</v>
      </c>
      <c r="B18" s="97" t="s">
        <v>62</v>
      </c>
      <c r="C18" s="98" t="s">
        <v>0</v>
      </c>
      <c r="D18" s="90"/>
      <c r="E18" s="99" t="s">
        <v>55</v>
      </c>
      <c r="F18" s="100" t="s">
        <v>42</v>
      </c>
      <c r="G18" s="100" t="s">
        <v>43</v>
      </c>
      <c r="H18" s="100" t="s">
        <v>44</v>
      </c>
      <c r="I18" s="95"/>
      <c r="J18" s="100" t="s">
        <v>0</v>
      </c>
      <c r="K18" s="100" t="s">
        <v>45</v>
      </c>
      <c r="L18" s="95"/>
      <c r="M18" s="101" t="s">
        <v>58</v>
      </c>
      <c r="N18" s="101" t="s">
        <v>59</v>
      </c>
      <c r="P18" s="104" t="s">
        <v>61</v>
      </c>
      <c r="R18" s="23" t="s">
        <v>52</v>
      </c>
      <c r="S18" s="24" t="s">
        <v>53</v>
      </c>
      <c r="T18" s="24" t="s">
        <v>39</v>
      </c>
    </row>
    <row r="19" spans="1:20">
      <c r="A19" s="68">
        <v>7.5</v>
      </c>
      <c r="B19" s="68">
        <v>8.5</v>
      </c>
      <c r="C19" s="69">
        <f>Cálculos!L14</f>
        <v>283.21670921806526</v>
      </c>
      <c r="E19" s="70">
        <v>0.5</v>
      </c>
      <c r="F19" s="69">
        <f>5/E19</f>
        <v>10</v>
      </c>
      <c r="G19" s="69">
        <f>C19-C20</f>
        <v>94.40556973935503</v>
      </c>
      <c r="H19" s="71">
        <f>+G19/F19</f>
        <v>9.4405569739355037</v>
      </c>
      <c r="I19" s="114" t="s">
        <v>43</v>
      </c>
      <c r="J19" s="69">
        <f>+H19*$G$7</f>
        <v>94.40556973935503</v>
      </c>
      <c r="K19" s="70">
        <f>EXP(-10.134164+2.218725*LN(A19)+0.786149*LN(B19))*J19</f>
        <v>1.7618469311234179</v>
      </c>
      <c r="M19" s="70">
        <f>IF(A19&lt;$L$9,K19,0)</f>
        <v>1.7618469311234179</v>
      </c>
      <c r="N19" s="70"/>
      <c r="O19" s="70"/>
      <c r="P19" s="105">
        <f>C19-J19</f>
        <v>188.81113947871023</v>
      </c>
      <c r="R19" s="78">
        <f>0.7854*($A$19/100)^2*C19</f>
        <v>1.2512160192367601</v>
      </c>
      <c r="S19" s="78">
        <f>0.7854*(A19/100)^2*P19</f>
        <v>0.8341440128245069</v>
      </c>
      <c r="T19" s="111">
        <f>0.7854*(A19/100)^2*J19</f>
        <v>0.41707200641225312</v>
      </c>
    </row>
    <row r="20" spans="1:20">
      <c r="A20" s="68">
        <v>12.5</v>
      </c>
      <c r="B20" s="68">
        <v>10.8</v>
      </c>
      <c r="C20" s="69">
        <f>Cálculos!L15</f>
        <v>188.81113947871023</v>
      </c>
      <c r="E20" s="70"/>
      <c r="F20" s="69"/>
      <c r="G20" s="69"/>
      <c r="H20" s="71"/>
      <c r="I20" s="115">
        <f>G19</f>
        <v>94.40556973935503</v>
      </c>
      <c r="J20" s="69">
        <f>+H20*$G$7</f>
        <v>0</v>
      </c>
      <c r="K20" s="70">
        <f>EXP(-10.134164+2.218725*LN(A20)+0.786149*LN(B20))*J20</f>
        <v>0</v>
      </c>
      <c r="M20" s="70">
        <f>IF(A20&lt;$L$9,K20,0)</f>
        <v>0</v>
      </c>
      <c r="N20" s="70"/>
      <c r="O20" s="70"/>
      <c r="P20" s="105">
        <f>C20-J20</f>
        <v>188.81113947871023</v>
      </c>
      <c r="R20" s="78">
        <f t="shared" ref="R20:R28" si="0">0.7854*(A20/100)^2*C20</f>
        <v>2.3170667022902971</v>
      </c>
      <c r="S20" s="78">
        <f>0.7854*(A20/100)^2*P20</f>
        <v>2.3170667022902971</v>
      </c>
      <c r="T20" s="112">
        <f>0.7854*(A20/100)^2*J20</f>
        <v>0</v>
      </c>
    </row>
    <row r="21" spans="1:20">
      <c r="A21" s="68">
        <v>17.5</v>
      </c>
      <c r="B21" s="68">
        <v>12.7</v>
      </c>
      <c r="C21" s="69">
        <f>Cálculos!L16</f>
        <v>125.8740929858068</v>
      </c>
      <c r="E21" s="70"/>
      <c r="F21" s="69"/>
      <c r="G21" s="69"/>
      <c r="H21" s="71"/>
      <c r="I21" s="115">
        <f t="shared" ref="I21:I28" si="1">G20</f>
        <v>0</v>
      </c>
      <c r="J21" s="69">
        <f t="shared" ref="J21:J28" si="2">+H21*$G$7</f>
        <v>0</v>
      </c>
      <c r="K21" s="70">
        <f>EXP(-10.134164+2.218725*LN(A21)+0.786149*LN(B21))*J21</f>
        <v>0</v>
      </c>
      <c r="M21" s="70">
        <f>IF(A21&lt;$L$9,K21,0)</f>
        <v>0</v>
      </c>
      <c r="N21" s="70"/>
      <c r="O21" s="70"/>
      <c r="P21" s="105">
        <f>C21-J21</f>
        <v>125.8740929858068</v>
      </c>
      <c r="R21" s="78">
        <f t="shared" si="0"/>
        <v>3.0276338243259873</v>
      </c>
      <c r="S21" s="78">
        <f>0.7854*(A21/100)^2*P21</f>
        <v>3.0276338243259873</v>
      </c>
      <c r="T21" s="112">
        <f>0.7854*(A21/100)^2*J21</f>
        <v>0</v>
      </c>
    </row>
    <row r="22" spans="1:20">
      <c r="A22" s="68">
        <v>22.5</v>
      </c>
      <c r="B22" s="68">
        <v>14.4</v>
      </c>
      <c r="C22" s="69">
        <f>Cálculos!L17</f>
        <v>83.91606199053787</v>
      </c>
      <c r="E22" s="70"/>
      <c r="F22" s="69"/>
      <c r="G22" s="69"/>
      <c r="H22" s="71"/>
      <c r="I22" s="115">
        <f t="shared" si="1"/>
        <v>0</v>
      </c>
      <c r="J22" s="69">
        <f t="shared" si="2"/>
        <v>0</v>
      </c>
      <c r="K22" s="70">
        <f>EXP(-10.134164+2.218725*LN(A22)+0.786149*LN(B22))*J22</f>
        <v>0</v>
      </c>
      <c r="M22" s="70">
        <f>IF(A22&lt;$L$9,K22,0)</f>
        <v>0</v>
      </c>
      <c r="N22" s="70"/>
      <c r="O22" s="70"/>
      <c r="P22" s="105">
        <f>C22-J22</f>
        <v>83.91606199053787</v>
      </c>
      <c r="R22" s="78">
        <f t="shared" si="0"/>
        <v>3.3365760512980276</v>
      </c>
      <c r="S22" s="78">
        <f>0.7854*(A22/100)^2*P22</f>
        <v>3.3365760512980276</v>
      </c>
      <c r="T22" s="112">
        <f>0.7854*(A22/100)^2*J22</f>
        <v>0</v>
      </c>
    </row>
    <row r="23" spans="1:20">
      <c r="A23" s="68">
        <v>27.5</v>
      </c>
      <c r="B23" s="68">
        <v>15.8</v>
      </c>
      <c r="C23" s="69">
        <f>Cálculos!L18</f>
        <v>55.944041327025246</v>
      </c>
      <c r="E23" s="70"/>
      <c r="F23" s="69"/>
      <c r="G23" s="69"/>
      <c r="H23" s="71"/>
      <c r="I23" s="115">
        <f t="shared" si="1"/>
        <v>0</v>
      </c>
      <c r="J23" s="69">
        <f t="shared" si="2"/>
        <v>0</v>
      </c>
      <c r="K23" s="70">
        <f>EXP(-10.134164+2.218725*LN(A23)+0.786149*LN(B23))*J23</f>
        <v>0</v>
      </c>
      <c r="M23" s="70">
        <f>IF(A23&lt;$L$9,K23,0)</f>
        <v>0</v>
      </c>
      <c r="N23" s="70"/>
      <c r="O23" s="70"/>
      <c r="P23" s="105">
        <f>C23-J23</f>
        <v>55.944041327025246</v>
      </c>
      <c r="R23" s="78">
        <f t="shared" si="0"/>
        <v>3.3228452856548261</v>
      </c>
      <c r="S23" s="78">
        <f>0.7854*(A23/100)^2*P23</f>
        <v>3.3228452856548261</v>
      </c>
      <c r="T23" s="112">
        <f>0.7854*(A23/100)^2*J23</f>
        <v>0</v>
      </c>
    </row>
    <row r="24" spans="1:20">
      <c r="A24" s="68">
        <v>32.5</v>
      </c>
      <c r="B24" s="68">
        <v>17.2</v>
      </c>
      <c r="C24" s="69">
        <f>Cálculos!L19</f>
        <v>37.296027551350171</v>
      </c>
      <c r="E24" s="70"/>
      <c r="F24" s="69"/>
      <c r="G24" s="69"/>
      <c r="H24" s="71"/>
      <c r="I24" s="115">
        <f t="shared" si="1"/>
        <v>0</v>
      </c>
      <c r="J24" s="69">
        <f t="shared" si="2"/>
        <v>0</v>
      </c>
      <c r="K24" s="70">
        <f>EXP(-10.134164+2.218725*LN(A24)+0.786149*LN(B24))*J24</f>
        <v>0</v>
      </c>
      <c r="M24" s="70"/>
      <c r="N24" s="70">
        <f>IF(A24&gt;$L$9,K24,0)</f>
        <v>0</v>
      </c>
      <c r="O24" s="70"/>
      <c r="P24" s="105">
        <f>C24-J24</f>
        <v>37.296027551350171</v>
      </c>
      <c r="R24" s="78">
        <f t="shared" si="0"/>
        <v>3.0939991916014637</v>
      </c>
      <c r="S24" s="78">
        <f>0.7854*(A24/100)^2*P24</f>
        <v>3.0939991916014637</v>
      </c>
      <c r="T24" s="112">
        <f>0.7854*(A24/100)^2*J24</f>
        <v>0</v>
      </c>
    </row>
    <row r="25" spans="1:20">
      <c r="A25" s="68">
        <v>37.5</v>
      </c>
      <c r="B25" s="68">
        <v>18.399999999999999</v>
      </c>
      <c r="C25" s="69">
        <f>Cálculos!L20</f>
        <v>24.864018367566775</v>
      </c>
      <c r="E25" s="70"/>
      <c r="F25" s="69"/>
      <c r="G25" s="69"/>
      <c r="H25" s="71"/>
      <c r="I25" s="115">
        <f t="shared" si="1"/>
        <v>0</v>
      </c>
      <c r="J25" s="69">
        <f t="shared" si="2"/>
        <v>0</v>
      </c>
      <c r="K25" s="70">
        <f>EXP(-10.134164+2.218725*LN(A25)+0.786149*LN(B25))*J25</f>
        <v>0</v>
      </c>
      <c r="M25" s="70"/>
      <c r="N25" s="70">
        <f>IF(A25&gt;$L$9,K25,0)</f>
        <v>0</v>
      </c>
      <c r="O25" s="70"/>
      <c r="P25" s="105">
        <f>C25-J25</f>
        <v>24.864018367566775</v>
      </c>
      <c r="R25" s="78">
        <f t="shared" si="0"/>
        <v>2.7461531286403518</v>
      </c>
      <c r="S25" s="78">
        <f>0.7854*(A25/100)^2*P25</f>
        <v>2.7461531286403518</v>
      </c>
      <c r="T25" s="112">
        <f>0.7854*(A25/100)^2*J25</f>
        <v>0</v>
      </c>
    </row>
    <row r="26" spans="1:20">
      <c r="A26" s="68">
        <v>42.5</v>
      </c>
      <c r="B26" s="68">
        <v>19.5</v>
      </c>
      <c r="C26" s="69">
        <f>Cálculos!L21</f>
        <v>16.57601224504452</v>
      </c>
      <c r="E26" s="70"/>
      <c r="F26" s="69"/>
      <c r="G26" s="69"/>
      <c r="H26" s="71"/>
      <c r="I26" s="115">
        <f t="shared" si="1"/>
        <v>0</v>
      </c>
      <c r="J26" s="69">
        <f t="shared" si="2"/>
        <v>0</v>
      </c>
      <c r="K26" s="70">
        <f>EXP(-10.134164+2.218725*LN(A26)+0.786149*LN(B26))*J26</f>
        <v>0</v>
      </c>
      <c r="M26" s="70"/>
      <c r="N26" s="70">
        <f>IF(A26&gt;$L$9,K26,0)</f>
        <v>0</v>
      </c>
      <c r="O26" s="70"/>
      <c r="P26" s="105">
        <f>C26-J26</f>
        <v>16.57601224504452</v>
      </c>
      <c r="R26" s="78">
        <f t="shared" si="0"/>
        <v>2.3515207531172195</v>
      </c>
      <c r="S26" s="78">
        <f>0.7854*(A26/100)^2*P26</f>
        <v>2.3515207531172195</v>
      </c>
      <c r="T26" s="112">
        <f>0.7854*(A26/100)^2*J26</f>
        <v>0</v>
      </c>
    </row>
    <row r="27" spans="1:20">
      <c r="A27" s="68">
        <v>47.5</v>
      </c>
      <c r="B27" s="68">
        <v>20.6</v>
      </c>
      <c r="C27" s="69">
        <f>Cálculos!L22</f>
        <v>11.050674830029678</v>
      </c>
      <c r="E27" s="70"/>
      <c r="F27" s="69"/>
      <c r="G27" s="69"/>
      <c r="H27" s="71"/>
      <c r="I27" s="115">
        <f t="shared" si="1"/>
        <v>0</v>
      </c>
      <c r="J27" s="69">
        <f t="shared" si="2"/>
        <v>0</v>
      </c>
      <c r="K27" s="70">
        <f>EXP(-10.134164+2.218725*LN(A27)+0.786149*LN(B27))*J27</f>
        <v>0</v>
      </c>
      <c r="M27" s="70"/>
      <c r="N27" s="70">
        <f>IF(A27&gt;$L$9,K27,0)</f>
        <v>0</v>
      </c>
      <c r="O27" s="70"/>
      <c r="P27" s="105">
        <f>C27-J27</f>
        <v>11.050674830029678</v>
      </c>
      <c r="R27" s="78">
        <f t="shared" si="0"/>
        <v>1.9582445025958852</v>
      </c>
      <c r="S27" s="78">
        <f>0.7854*(A27/100)^2*P27</f>
        <v>1.9582445025958852</v>
      </c>
      <c r="T27" s="112">
        <f>0.7854*(A27/100)^2*J27</f>
        <v>0</v>
      </c>
    </row>
    <row r="28" spans="1:20">
      <c r="A28" s="68">
        <v>52.5</v>
      </c>
      <c r="B28" s="68">
        <v>21.6</v>
      </c>
      <c r="C28" s="69">
        <f>Cálculos!L23</f>
        <v>7.3671165533531173</v>
      </c>
      <c r="E28" s="70"/>
      <c r="F28" s="69"/>
      <c r="G28" s="69"/>
      <c r="H28" s="71"/>
      <c r="I28" s="115">
        <f t="shared" si="1"/>
        <v>0</v>
      </c>
      <c r="J28" s="69">
        <f t="shared" si="2"/>
        <v>0</v>
      </c>
      <c r="K28" s="70">
        <f>EXP(-10.134164+2.218725*LN(A28)+0.786149*LN(B28))*J28</f>
        <v>0</v>
      </c>
      <c r="M28" s="70"/>
      <c r="N28" s="70">
        <f>IF(A28&gt;$L$9,K28,0)</f>
        <v>0</v>
      </c>
      <c r="O28" s="70"/>
      <c r="P28" s="105">
        <f>C28-J28</f>
        <v>7.3671165533531173</v>
      </c>
      <c r="R28" s="78">
        <f t="shared" si="0"/>
        <v>1.5948030021141004</v>
      </c>
      <c r="S28" s="78">
        <f>0.7854*(A28/100)^2*P28</f>
        <v>1.5948030021141004</v>
      </c>
      <c r="T28" s="112">
        <f>0.7854*(A28/100)^2*J28</f>
        <v>0</v>
      </c>
    </row>
    <row r="29" spans="1:20">
      <c r="A29" s="68"/>
      <c r="B29" s="68"/>
      <c r="C29" s="69"/>
      <c r="D29" s="69"/>
      <c r="E29" s="70"/>
      <c r="F29" s="69"/>
      <c r="G29" s="70"/>
      <c r="H29" s="68"/>
      <c r="J29" s="72"/>
      <c r="K29" s="70"/>
      <c r="M29" s="70"/>
      <c r="N29" s="70"/>
      <c r="O29" s="70"/>
      <c r="R29" s="78"/>
      <c r="S29" s="79"/>
      <c r="T29" s="80"/>
    </row>
    <row r="30" spans="1:20">
      <c r="A30" s="68"/>
      <c r="B30" s="68"/>
      <c r="C30" s="69"/>
      <c r="D30" s="69"/>
      <c r="E30" s="70"/>
      <c r="F30" s="69"/>
      <c r="G30" s="70"/>
      <c r="H30" s="68"/>
      <c r="J30" s="72"/>
      <c r="K30" s="70"/>
      <c r="M30" s="70"/>
      <c r="N30" s="70"/>
      <c r="O30" s="70"/>
      <c r="R30" s="78"/>
      <c r="S30" s="79"/>
      <c r="T30" s="80"/>
    </row>
    <row r="31" spans="1:20">
      <c r="A31" s="73" t="s">
        <v>46</v>
      </c>
      <c r="B31" s="73"/>
      <c r="C31" s="74">
        <f>SUM(C19:C30)</f>
        <v>834.91589454748976</v>
      </c>
      <c r="E31" s="74"/>
      <c r="F31" s="74"/>
      <c r="G31" s="74">
        <f>SUM(G19:G30)</f>
        <v>94.40556973935503</v>
      </c>
      <c r="H31" s="74">
        <f>SUM(H19:H30)</f>
        <v>9.4405569739355037</v>
      </c>
      <c r="J31" s="74">
        <f t="shared" ref="J31" si="3">SUM(J19:J30)</f>
        <v>94.40556973935503</v>
      </c>
      <c r="K31" s="113">
        <f>SUM(K19:K30)</f>
        <v>1.7618469311234179</v>
      </c>
      <c r="M31" s="113">
        <f t="shared" ref="M31:N31" si="4">SUM(M19:M30)</f>
        <v>1.7618469311234179</v>
      </c>
      <c r="N31" s="113">
        <f t="shared" si="4"/>
        <v>0</v>
      </c>
      <c r="O31" s="102"/>
      <c r="P31" s="74">
        <f t="shared" ref="P31" si="5">SUM(P19:P30)</f>
        <v>740.51032480813467</v>
      </c>
      <c r="R31" s="113">
        <f>SUM(R19:R30)</f>
        <v>25.000058460874918</v>
      </c>
      <c r="S31" s="113">
        <f>SUM(S19:S30)</f>
        <v>24.58298645446267</v>
      </c>
      <c r="T31" s="113">
        <f>SUM(T19:T30)</f>
        <v>0.41707200641225312</v>
      </c>
    </row>
    <row r="32" spans="1:20">
      <c r="A32" s="67"/>
      <c r="B32" s="61"/>
      <c r="C32" s="68"/>
      <c r="D32" s="68"/>
      <c r="E32" s="68"/>
      <c r="F32" s="68"/>
      <c r="G32" s="61"/>
      <c r="H32" s="61"/>
      <c r="I32" s="61"/>
      <c r="J32" s="61"/>
      <c r="K32" s="61"/>
      <c r="L32" s="75"/>
      <c r="M32" s="61"/>
      <c r="N32" s="61"/>
      <c r="O32" s="61"/>
      <c r="R32" s="61"/>
      <c r="S32" s="61"/>
      <c r="T32" s="61"/>
    </row>
    <row r="33" spans="1:20">
      <c r="A33" s="61"/>
      <c r="B33" s="61"/>
      <c r="C33" s="68"/>
      <c r="D33" s="68"/>
      <c r="E33" s="68"/>
      <c r="F33" s="68"/>
      <c r="G33" s="61"/>
      <c r="H33" s="61"/>
      <c r="I33" s="61"/>
      <c r="J33" s="61"/>
      <c r="K33" s="61"/>
      <c r="L33" s="61"/>
      <c r="M33" s="76"/>
      <c r="N33" s="76"/>
      <c r="O33" s="76"/>
      <c r="R33" s="81" t="s">
        <v>54</v>
      </c>
      <c r="S33" s="82"/>
      <c r="T33" s="83"/>
    </row>
    <row r="34" spans="1:20">
      <c r="A34" s="61"/>
      <c r="B34" s="61"/>
      <c r="C34" s="68"/>
      <c r="D34" s="68"/>
      <c r="E34" s="68"/>
      <c r="F34" s="68"/>
      <c r="G34" s="61"/>
      <c r="H34" s="61"/>
      <c r="I34" s="61"/>
      <c r="J34" s="61"/>
      <c r="K34" s="61"/>
      <c r="L34" s="61"/>
      <c r="M34" s="61"/>
      <c r="N34" s="61"/>
      <c r="O34" s="61"/>
      <c r="R34" s="84">
        <f>+T31/R31*100</f>
        <v>1.6682841244750315</v>
      </c>
      <c r="S34" s="85"/>
      <c r="T34" s="86"/>
    </row>
    <row r="35" spans="1:20">
      <c r="A35" s="61"/>
      <c r="B35" s="61"/>
      <c r="C35" s="68"/>
      <c r="D35" s="68"/>
      <c r="E35" s="68"/>
      <c r="F35" s="68"/>
      <c r="G35" s="61"/>
      <c r="H35" s="61"/>
      <c r="I35" s="76"/>
      <c r="J35" s="61"/>
      <c r="K35" s="61"/>
      <c r="L35" s="61"/>
      <c r="M35" s="76"/>
      <c r="N35" s="76"/>
      <c r="O35" s="76"/>
    </row>
    <row r="36" spans="1:20">
      <c r="A36" s="61" t="s">
        <v>47</v>
      </c>
      <c r="B36" s="61"/>
      <c r="C36" s="68"/>
      <c r="D36" s="68"/>
      <c r="E36" s="68"/>
      <c r="F36" s="68"/>
      <c r="G36" s="61"/>
      <c r="H36" s="61"/>
      <c r="I36" s="116"/>
      <c r="J36" s="61"/>
      <c r="K36" s="61"/>
      <c r="L36" s="61"/>
      <c r="M36" s="61"/>
      <c r="N36" s="61"/>
      <c r="O36" s="61"/>
    </row>
    <row r="37" spans="1:20">
      <c r="A37" s="61" t="s">
        <v>48</v>
      </c>
      <c r="B37" s="61"/>
      <c r="C37" s="68"/>
      <c r="D37" s="68"/>
      <c r="E37" s="68"/>
      <c r="F37" s="68"/>
      <c r="G37" s="61"/>
      <c r="H37" s="61"/>
      <c r="I37" s="61"/>
      <c r="J37" s="61"/>
      <c r="K37" s="61"/>
      <c r="L37" s="61"/>
      <c r="M37" s="76"/>
      <c r="N37" s="76"/>
      <c r="O37" s="76"/>
    </row>
    <row r="38" spans="1:20">
      <c r="A38" s="61" t="s">
        <v>49</v>
      </c>
      <c r="B38" s="61"/>
      <c r="C38" s="68"/>
      <c r="D38" s="68"/>
      <c r="E38" s="68"/>
      <c r="F38" s="68"/>
      <c r="G38" s="61"/>
      <c r="H38" s="61"/>
      <c r="I38" s="61"/>
      <c r="J38" s="61"/>
      <c r="K38" s="61"/>
      <c r="L38" s="61"/>
      <c r="M38" s="61"/>
      <c r="N38" s="61"/>
      <c r="O38" s="61"/>
    </row>
    <row r="39" spans="1:20">
      <c r="A39" s="61" t="s">
        <v>50</v>
      </c>
      <c r="B39" s="61"/>
      <c r="C39" s="68"/>
      <c r="D39" s="68"/>
      <c r="E39" s="68"/>
      <c r="F39" s="68"/>
      <c r="G39" s="61"/>
      <c r="H39" s="61"/>
      <c r="I39" s="61"/>
      <c r="J39" s="61"/>
      <c r="K39" s="61"/>
      <c r="L39" s="61"/>
      <c r="M39" s="76"/>
      <c r="N39" s="76"/>
      <c r="O39" s="76"/>
    </row>
    <row r="40" spans="1:20">
      <c r="A40" s="61"/>
      <c r="B40" s="61"/>
      <c r="C40" s="68"/>
      <c r="D40" s="68"/>
      <c r="E40" s="68"/>
      <c r="F40" s="68"/>
      <c r="G40" s="61"/>
      <c r="H40" s="61"/>
      <c r="I40" s="61"/>
      <c r="J40" s="61"/>
      <c r="K40" s="61"/>
      <c r="L40" s="61"/>
      <c r="M40" s="61"/>
      <c r="N40" s="61"/>
      <c r="O40" s="61"/>
    </row>
  </sheetData>
  <mergeCells count="7">
    <mergeCell ref="F17:G17"/>
    <mergeCell ref="R34:T34"/>
    <mergeCell ref="J17:K17"/>
    <mergeCell ref="M17:N17"/>
    <mergeCell ref="R17:T17"/>
    <mergeCell ref="C6:F6"/>
    <mergeCell ref="C7:F7"/>
  </mergeCells>
  <pageMargins left="0.7" right="0.7" top="0.75" bottom="0.75" header="0.3" footer="0.3"/>
  <pageSetup orientation="portrait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Consignas</vt:lpstr>
      <vt:lpstr>Cálculos</vt:lpstr>
      <vt:lpstr>Manejo</vt:lpstr>
      <vt:lpstr>Cálculos!Área_de_impresión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 Martín Sandoval López</dc:creator>
  <cp:lastModifiedBy>acer</cp:lastModifiedBy>
  <cp:lastPrinted>2020-09-07T17:59:26Z</cp:lastPrinted>
  <dcterms:created xsi:type="dcterms:W3CDTF">2019-10-01T12:35:25Z</dcterms:created>
  <dcterms:modified xsi:type="dcterms:W3CDTF">2020-09-29T18:56:34Z</dcterms:modified>
</cp:coreProperties>
</file>